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30"/>
  </bookViews>
  <sheets>
    <sheet name="NHM" sheetId="1" r:id="rId1"/>
  </sheets>
  <definedNames>
    <definedName name="_Fill" hidden="1">#REF!</definedName>
    <definedName name="_xlnm._FilterDatabase" localSheetId="0" hidden="1">NHM!$A$10:$C$260</definedName>
    <definedName name="_Key1" hidden="1">#REF!</definedName>
    <definedName name="_Sort" hidden="1">#REF!</definedName>
    <definedName name="A" hidden="1">#REF!</definedName>
    <definedName name="data">#REF!</definedName>
    <definedName name="_xlnm.Database">#REF!</definedName>
    <definedName name="dsg" hidden="1">#REF!</definedName>
  </definedNames>
  <calcPr calcId="124519"/>
</workbook>
</file>

<file path=xl/calcChain.xml><?xml version="1.0" encoding="utf-8"?>
<calcChain xmlns="http://schemas.openxmlformats.org/spreadsheetml/2006/main">
  <c r="D49" i="1"/>
  <c r="E49"/>
  <c r="F49"/>
  <c r="G49"/>
  <c r="H49"/>
  <c r="I49"/>
  <c r="J49"/>
  <c r="K49"/>
  <c r="L49"/>
  <c r="M49"/>
  <c r="N49"/>
  <c r="O49"/>
  <c r="P49"/>
  <c r="Q13"/>
  <c r="Q14"/>
  <c r="Q15"/>
  <c r="Q16"/>
  <c r="Q17"/>
  <c r="Q18"/>
  <c r="Q19"/>
  <c r="Q20"/>
  <c r="Q22"/>
  <c r="Q23"/>
  <c r="Q24"/>
  <c r="Q25"/>
  <c r="Q27"/>
  <c r="Q28"/>
  <c r="Q29"/>
  <c r="Q31"/>
  <c r="Q32"/>
  <c r="Q34"/>
  <c r="Q35"/>
  <c r="Q40"/>
  <c r="Q41"/>
  <c r="Q42"/>
  <c r="Q43"/>
  <c r="Q44"/>
  <c r="Q48"/>
  <c r="Q50"/>
  <c r="Q51"/>
  <c r="Q49" s="1"/>
  <c r="Q52"/>
  <c r="Q53"/>
  <c r="Q54"/>
  <c r="Q55"/>
  <c r="Q56"/>
  <c r="Q57"/>
  <c r="Q58"/>
  <c r="Q59"/>
  <c r="Q60"/>
  <c r="Q61"/>
  <c r="Q62"/>
  <c r="Q63"/>
  <c r="Q64"/>
  <c r="Q65"/>
  <c r="Q66"/>
  <c r="Q67"/>
  <c r="Q72"/>
  <c r="Q74"/>
  <c r="Q76"/>
  <c r="Q78"/>
  <c r="Q84"/>
  <c r="Q87"/>
  <c r="Q90"/>
  <c r="Q91"/>
  <c r="Q92"/>
  <c r="Q105"/>
  <c r="Q107"/>
  <c r="Q108"/>
  <c r="Q109"/>
  <c r="Q110"/>
  <c r="Q111"/>
  <c r="Q112"/>
  <c r="Q113"/>
  <c r="Q116"/>
  <c r="Q118"/>
  <c r="Q119"/>
  <c r="Q120"/>
  <c r="Q121"/>
  <c r="Q122"/>
  <c r="Q123"/>
  <c r="Q124"/>
  <c r="Q127"/>
  <c r="Q128"/>
  <c r="Q130"/>
  <c r="Q131"/>
  <c r="Q132"/>
  <c r="Q133"/>
  <c r="Q134"/>
  <c r="Q144"/>
  <c r="Q146"/>
  <c r="Q147"/>
  <c r="Q148"/>
  <c r="Q154"/>
  <c r="Q155"/>
  <c r="Q157"/>
  <c r="Q158"/>
  <c r="Q159"/>
  <c r="Q160"/>
  <c r="Q161"/>
  <c r="Q162"/>
  <c r="Q163"/>
  <c r="Q166"/>
  <c r="Q167"/>
  <c r="Q168"/>
  <c r="Q170"/>
  <c r="Q171"/>
  <c r="Q172"/>
  <c r="Q173"/>
  <c r="Q174"/>
  <c r="Q175"/>
  <c r="Q176"/>
  <c r="Q178"/>
  <c r="Q179"/>
  <c r="Q181"/>
  <c r="Q182"/>
  <c r="Q183"/>
  <c r="Q185"/>
  <c r="Q186"/>
  <c r="Q187"/>
  <c r="Q188"/>
  <c r="Q189"/>
  <c r="Q191"/>
  <c r="Q192"/>
  <c r="Q193"/>
  <c r="Q194"/>
  <c r="Q195"/>
  <c r="Q198"/>
  <c r="Q199"/>
  <c r="Q200"/>
  <c r="Q201"/>
  <c r="Q202"/>
  <c r="Q203"/>
  <c r="Q204"/>
  <c r="Q205"/>
  <c r="Q206"/>
  <c r="Q207"/>
  <c r="Q212"/>
  <c r="Q213"/>
  <c r="Q215"/>
  <c r="Q216"/>
  <c r="Q217"/>
  <c r="Q218"/>
  <c r="Q219"/>
  <c r="Q220"/>
  <c r="Q221"/>
  <c r="Q223"/>
  <c r="Q224"/>
  <c r="Q226"/>
  <c r="Q228"/>
  <c r="Q229"/>
  <c r="Q230"/>
  <c r="Q232"/>
  <c r="Q233"/>
  <c r="Q234"/>
  <c r="Q235"/>
  <c r="Q236"/>
  <c r="Q237"/>
  <c r="Q239"/>
  <c r="Q243"/>
  <c r="Q246"/>
  <c r="Q247"/>
  <c r="Q249"/>
  <c r="Q250"/>
  <c r="Q252"/>
  <c r="Q253"/>
  <c r="Q254"/>
  <c r="Q257"/>
  <c r="Q258"/>
  <c r="Q259"/>
  <c r="Q261"/>
  <c r="Q262"/>
  <c r="Q263"/>
  <c r="Q264"/>
  <c r="Q265"/>
  <c r="Q266"/>
  <c r="Q267"/>
  <c r="Q268"/>
  <c r="Q12"/>
  <c r="D260"/>
  <c r="Q260" s="1"/>
  <c r="D248"/>
  <c r="Q248" s="1"/>
  <c r="E248"/>
  <c r="F248"/>
  <c r="G248"/>
  <c r="H248"/>
  <c r="I248"/>
  <c r="J248"/>
  <c r="K248"/>
  <c r="L248"/>
  <c r="M248"/>
  <c r="N248"/>
  <c r="O248"/>
  <c r="P248"/>
  <c r="D251"/>
  <c r="Q251" s="1"/>
  <c r="E251"/>
  <c r="F251"/>
  <c r="G251"/>
  <c r="H251"/>
  <c r="I251"/>
  <c r="J251"/>
  <c r="K251"/>
  <c r="L251"/>
  <c r="M251"/>
  <c r="N251"/>
  <c r="O251"/>
  <c r="P251"/>
  <c r="E255"/>
  <c r="F255"/>
  <c r="G255"/>
  <c r="H255"/>
  <c r="I255"/>
  <c r="J255"/>
  <c r="K255"/>
  <c r="L255"/>
  <c r="M255"/>
  <c r="N255"/>
  <c r="O255"/>
  <c r="P255"/>
  <c r="D256"/>
  <c r="Q256" s="1"/>
  <c r="D238"/>
  <c r="Q238" s="1"/>
  <c r="E238"/>
  <c r="F238"/>
  <c r="G238"/>
  <c r="H238"/>
  <c r="I238"/>
  <c r="J238"/>
  <c r="K238"/>
  <c r="L238"/>
  <c r="M238"/>
  <c r="N238"/>
  <c r="O238"/>
  <c r="P238"/>
  <c r="D231"/>
  <c r="Q231" s="1"/>
  <c r="E231"/>
  <c r="F231"/>
  <c r="G231"/>
  <c r="H231"/>
  <c r="I231"/>
  <c r="J231"/>
  <c r="K231"/>
  <c r="L231"/>
  <c r="M231"/>
  <c r="N231"/>
  <c r="O231"/>
  <c r="P231"/>
  <c r="D227"/>
  <c r="E227"/>
  <c r="Q227" s="1"/>
  <c r="F227"/>
  <c r="G227"/>
  <c r="H227"/>
  <c r="I227"/>
  <c r="J227"/>
  <c r="K227"/>
  <c r="L227"/>
  <c r="M227"/>
  <c r="N227"/>
  <c r="O227"/>
  <c r="P227"/>
  <c r="J222"/>
  <c r="P222"/>
  <c r="D214"/>
  <c r="Q214" s="1"/>
  <c r="E214"/>
  <c r="F214"/>
  <c r="G214"/>
  <c r="H214"/>
  <c r="I214"/>
  <c r="J214"/>
  <c r="K214"/>
  <c r="L214"/>
  <c r="M214"/>
  <c r="N214"/>
  <c r="O214"/>
  <c r="P214"/>
  <c r="E208"/>
  <c r="F208"/>
  <c r="G208"/>
  <c r="H208"/>
  <c r="I208"/>
  <c r="J208"/>
  <c r="K208"/>
  <c r="L208"/>
  <c r="M208"/>
  <c r="N208"/>
  <c r="O208"/>
  <c r="P208"/>
  <c r="D211"/>
  <c r="Q211" s="1"/>
  <c r="D209"/>
  <c r="Q209" s="1"/>
  <c r="D210"/>
  <c r="Q210" s="1"/>
  <c r="D197"/>
  <c r="Q197" s="1"/>
  <c r="E197"/>
  <c r="F197"/>
  <c r="G197"/>
  <c r="H197"/>
  <c r="I197"/>
  <c r="J197"/>
  <c r="K197"/>
  <c r="L197"/>
  <c r="M197"/>
  <c r="N197"/>
  <c r="O197"/>
  <c r="P197"/>
  <c r="D190"/>
  <c r="Q190" s="1"/>
  <c r="E190"/>
  <c r="F190"/>
  <c r="G190"/>
  <c r="H190"/>
  <c r="I190"/>
  <c r="J190"/>
  <c r="K190"/>
  <c r="L190"/>
  <c r="M190"/>
  <c r="N190"/>
  <c r="O190"/>
  <c r="P190"/>
  <c r="D184"/>
  <c r="Q184" s="1"/>
  <c r="E184"/>
  <c r="F184"/>
  <c r="G184"/>
  <c r="H184"/>
  <c r="I184"/>
  <c r="J184"/>
  <c r="K184"/>
  <c r="L184"/>
  <c r="M184"/>
  <c r="N184"/>
  <c r="O184"/>
  <c r="P184"/>
  <c r="D180"/>
  <c r="Q180" s="1"/>
  <c r="E180"/>
  <c r="F180"/>
  <c r="G180"/>
  <c r="H180"/>
  <c r="I180"/>
  <c r="J180"/>
  <c r="K180"/>
  <c r="L180"/>
  <c r="M180"/>
  <c r="N180"/>
  <c r="O180"/>
  <c r="P180"/>
  <c r="D177"/>
  <c r="Q177" s="1"/>
  <c r="E177"/>
  <c r="F177"/>
  <c r="G177"/>
  <c r="H177"/>
  <c r="I177"/>
  <c r="J177"/>
  <c r="K177"/>
  <c r="L177"/>
  <c r="M177"/>
  <c r="N177"/>
  <c r="O177"/>
  <c r="P177"/>
  <c r="D169"/>
  <c r="Q169" s="1"/>
  <c r="E169"/>
  <c r="F169"/>
  <c r="G169"/>
  <c r="H169"/>
  <c r="I169"/>
  <c r="J169"/>
  <c r="K169"/>
  <c r="L169"/>
  <c r="M169"/>
  <c r="N169"/>
  <c r="O169"/>
  <c r="P169"/>
  <c r="D151"/>
  <c r="Q151" s="1"/>
  <c r="D152"/>
  <c r="Q152" s="1"/>
  <c r="D153"/>
  <c r="Q153" s="1"/>
  <c r="D150"/>
  <c r="Q150" s="1"/>
  <c r="D143"/>
  <c r="Q143" s="1"/>
  <c r="D142"/>
  <c r="Q142" s="1"/>
  <c r="D141"/>
  <c r="Q141" s="1"/>
  <c r="D140"/>
  <c r="Q140" s="1"/>
  <c r="D137"/>
  <c r="Q137" s="1"/>
  <c r="D138"/>
  <c r="Q138" s="1"/>
  <c r="D136"/>
  <c r="Q136" s="1"/>
  <c r="O79"/>
  <c r="N79"/>
  <c r="M79"/>
  <c r="L79"/>
  <c r="K79"/>
  <c r="J79"/>
  <c r="I79"/>
  <c r="H79"/>
  <c r="G79"/>
  <c r="F79"/>
  <c r="E79"/>
  <c r="D79"/>
  <c r="Q79" s="1"/>
  <c r="D81"/>
  <c r="Q81" s="1"/>
  <c r="I125"/>
  <c r="C261"/>
  <c r="C255"/>
  <c r="C251"/>
  <c r="C248"/>
  <c r="C240"/>
  <c r="C238"/>
  <c r="C231"/>
  <c r="C227"/>
  <c r="C222"/>
  <c r="C214"/>
  <c r="C208"/>
  <c r="C202"/>
  <c r="C197"/>
  <c r="C192"/>
  <c r="C190"/>
  <c r="C184"/>
  <c r="C180"/>
  <c r="C177"/>
  <c r="C169"/>
  <c r="C165"/>
  <c r="C164" s="1"/>
  <c r="C160"/>
  <c r="C156"/>
  <c r="C149"/>
  <c r="C145"/>
  <c r="C139"/>
  <c r="C135"/>
  <c r="C129"/>
  <c r="C126"/>
  <c r="C115"/>
  <c r="C106"/>
  <c r="C93"/>
  <c r="C88"/>
  <c r="C82"/>
  <c r="C80"/>
  <c r="C68"/>
  <c r="C57"/>
  <c r="C49"/>
  <c r="C45"/>
  <c r="C33"/>
  <c r="C30"/>
  <c r="C11"/>
  <c r="C10"/>
  <c r="D95"/>
  <c r="Q95" s="1"/>
  <c r="D96"/>
  <c r="Q96" s="1"/>
  <c r="D97"/>
  <c r="Q97" s="1"/>
  <c r="D98"/>
  <c r="Q98" s="1"/>
  <c r="D99"/>
  <c r="Q99" s="1"/>
  <c r="D100"/>
  <c r="Q100" s="1"/>
  <c r="D101"/>
  <c r="Q101" s="1"/>
  <c r="D102"/>
  <c r="Q102" s="1"/>
  <c r="D103"/>
  <c r="Q103" s="1"/>
  <c r="D104"/>
  <c r="Q104" s="1"/>
  <c r="D94"/>
  <c r="Q94" s="1"/>
  <c r="D89"/>
  <c r="Q89" s="1"/>
  <c r="P93"/>
  <c r="D86"/>
  <c r="Q86" s="1"/>
  <c r="D85"/>
  <c r="Q85" s="1"/>
  <c r="D83"/>
  <c r="Q83" s="1"/>
  <c r="D77"/>
  <c r="Q77" s="1"/>
  <c r="D75"/>
  <c r="Q75" s="1"/>
  <c r="D73"/>
  <c r="Q73" s="1"/>
  <c r="D71"/>
  <c r="Q71" s="1"/>
  <c r="D69"/>
  <c r="Q69" s="1"/>
  <c r="D70"/>
  <c r="Q70" s="1"/>
  <c r="D47"/>
  <c r="Q47" s="1"/>
  <c r="D46"/>
  <c r="Q46" s="1"/>
  <c r="D241"/>
  <c r="Q241" s="1"/>
  <c r="D26"/>
  <c r="Q26" s="1"/>
  <c r="D21"/>
  <c r="Q21" s="1"/>
  <c r="P240"/>
  <c r="C114" l="1"/>
  <c r="C196"/>
  <c r="D255"/>
  <c r="Q255" s="1"/>
  <c r="C9"/>
  <c r="D208"/>
  <c r="Q208" s="1"/>
  <c r="C269"/>
  <c r="D245"/>
  <c r="Q245" s="1"/>
  <c r="D244"/>
  <c r="Q244" s="1"/>
  <c r="D242"/>
  <c r="E242" l="1"/>
  <c r="Q242" s="1"/>
  <c r="D240"/>
  <c r="E240"/>
  <c r="F240" l="1"/>
  <c r="O39"/>
  <c r="N39"/>
  <c r="M39"/>
  <c r="L39"/>
  <c r="K39"/>
  <c r="I39"/>
  <c r="H39"/>
  <c r="G39"/>
  <c r="F39"/>
  <c r="E39"/>
  <c r="D39"/>
  <c r="D38"/>
  <c r="Q38" s="1"/>
  <c r="O37"/>
  <c r="N37"/>
  <c r="M37"/>
  <c r="L37"/>
  <c r="K37"/>
  <c r="J37"/>
  <c r="I37"/>
  <c r="H37"/>
  <c r="G37"/>
  <c r="F37"/>
  <c r="E37"/>
  <c r="D37"/>
  <c r="Q37" s="1"/>
  <c r="I36"/>
  <c r="F36"/>
  <c r="E36"/>
  <c r="D36"/>
  <c r="Q36" s="1"/>
  <c r="Q39" l="1"/>
  <c r="G240"/>
  <c r="P125"/>
  <c r="M125"/>
  <c r="L125"/>
  <c r="K125"/>
  <c r="D125"/>
  <c r="Q125" s="1"/>
  <c r="P117"/>
  <c r="Q117" s="1"/>
  <c r="H240" l="1"/>
  <c r="K225"/>
  <c r="K222" s="1"/>
  <c r="O225"/>
  <c r="O222" s="1"/>
  <c r="N225"/>
  <c r="N222" s="1"/>
  <c r="M225"/>
  <c r="M222" s="1"/>
  <c r="I225"/>
  <c r="I222" s="1"/>
  <c r="H225"/>
  <c r="H222" s="1"/>
  <c r="L225"/>
  <c r="L222" s="1"/>
  <c r="F225"/>
  <c r="F222" s="1"/>
  <c r="G225"/>
  <c r="G222" s="1"/>
  <c r="E225"/>
  <c r="E222" s="1"/>
  <c r="D225"/>
  <c r="Q225" l="1"/>
  <c r="D222"/>
  <c r="Q222" s="1"/>
  <c r="I240"/>
  <c r="I196" s="1"/>
  <c r="D196"/>
  <c r="E196"/>
  <c r="F196"/>
  <c r="G196"/>
  <c r="H196"/>
  <c r="P196"/>
  <c r="D165"/>
  <c r="E165"/>
  <c r="E164" s="1"/>
  <c r="F165"/>
  <c r="F164" s="1"/>
  <c r="G165"/>
  <c r="G164" s="1"/>
  <c r="H165"/>
  <c r="H164" s="1"/>
  <c r="I165"/>
  <c r="I164" s="1"/>
  <c r="J165"/>
  <c r="J164" s="1"/>
  <c r="K165"/>
  <c r="K164" s="1"/>
  <c r="L165"/>
  <c r="L164" s="1"/>
  <c r="M165"/>
  <c r="M164" s="1"/>
  <c r="N165"/>
  <c r="N164" s="1"/>
  <c r="O165"/>
  <c r="O164" s="1"/>
  <c r="P165"/>
  <c r="P164" s="1"/>
  <c r="D156"/>
  <c r="E156"/>
  <c r="F156"/>
  <c r="G156"/>
  <c r="H156"/>
  <c r="I156"/>
  <c r="J156"/>
  <c r="K156"/>
  <c r="L156"/>
  <c r="M156"/>
  <c r="N156"/>
  <c r="O156"/>
  <c r="P156"/>
  <c r="D149"/>
  <c r="E149"/>
  <c r="F149"/>
  <c r="G149"/>
  <c r="H149"/>
  <c r="I149"/>
  <c r="J149"/>
  <c r="K149"/>
  <c r="L149"/>
  <c r="M149"/>
  <c r="N149"/>
  <c r="O149"/>
  <c r="P149"/>
  <c r="D145"/>
  <c r="E145"/>
  <c r="F145"/>
  <c r="G145"/>
  <c r="H145"/>
  <c r="I145"/>
  <c r="J145"/>
  <c r="K145"/>
  <c r="L145"/>
  <c r="M145"/>
  <c r="N145"/>
  <c r="O145"/>
  <c r="P145"/>
  <c r="D139"/>
  <c r="E139"/>
  <c r="F139"/>
  <c r="G139"/>
  <c r="H139"/>
  <c r="I139"/>
  <c r="J139"/>
  <c r="K139"/>
  <c r="L139"/>
  <c r="M139"/>
  <c r="N139"/>
  <c r="O139"/>
  <c r="P139"/>
  <c r="D135"/>
  <c r="E135"/>
  <c r="F135"/>
  <c r="G135"/>
  <c r="H135"/>
  <c r="I135"/>
  <c r="J135"/>
  <c r="K135"/>
  <c r="L135"/>
  <c r="M135"/>
  <c r="N135"/>
  <c r="O135"/>
  <c r="P135"/>
  <c r="D129"/>
  <c r="E129"/>
  <c r="F129"/>
  <c r="G129"/>
  <c r="H129"/>
  <c r="I129"/>
  <c r="J129"/>
  <c r="K129"/>
  <c r="L129"/>
  <c r="M129"/>
  <c r="N129"/>
  <c r="O129"/>
  <c r="P129"/>
  <c r="D126"/>
  <c r="E126"/>
  <c r="F126"/>
  <c r="G126"/>
  <c r="H126"/>
  <c r="I126"/>
  <c r="J126"/>
  <c r="K126"/>
  <c r="L126"/>
  <c r="M126"/>
  <c r="N126"/>
  <c r="O126"/>
  <c r="D115"/>
  <c r="E115"/>
  <c r="F115"/>
  <c r="G115"/>
  <c r="H115"/>
  <c r="I115"/>
  <c r="J115"/>
  <c r="K115"/>
  <c r="L115"/>
  <c r="M115"/>
  <c r="N115"/>
  <c r="O115"/>
  <c r="P115"/>
  <c r="D106"/>
  <c r="E106"/>
  <c r="F106"/>
  <c r="G106"/>
  <c r="H106"/>
  <c r="I106"/>
  <c r="J106"/>
  <c r="K106"/>
  <c r="L106"/>
  <c r="M106"/>
  <c r="N106"/>
  <c r="O106"/>
  <c r="P106"/>
  <c r="D88"/>
  <c r="E88"/>
  <c r="F88"/>
  <c r="G88"/>
  <c r="H88"/>
  <c r="I88"/>
  <c r="I80" s="1"/>
  <c r="J88"/>
  <c r="K88"/>
  <c r="L88"/>
  <c r="M88"/>
  <c r="M80" s="1"/>
  <c r="N88"/>
  <c r="O88"/>
  <c r="P88"/>
  <c r="D93"/>
  <c r="E93"/>
  <c r="F93"/>
  <c r="G93"/>
  <c r="H93"/>
  <c r="I93"/>
  <c r="J93"/>
  <c r="K93"/>
  <c r="L93"/>
  <c r="M93"/>
  <c r="N93"/>
  <c r="O93"/>
  <c r="D82"/>
  <c r="E82"/>
  <c r="F82"/>
  <c r="F80" s="1"/>
  <c r="G82"/>
  <c r="H82"/>
  <c r="H80" s="1"/>
  <c r="I82"/>
  <c r="J82"/>
  <c r="J80" s="1"/>
  <c r="K82"/>
  <c r="L82"/>
  <c r="L80" s="1"/>
  <c r="M82"/>
  <c r="N82"/>
  <c r="N80" s="1"/>
  <c r="O82"/>
  <c r="P82"/>
  <c r="K80"/>
  <c r="O80"/>
  <c r="D68"/>
  <c r="E68"/>
  <c r="F68"/>
  <c r="G68"/>
  <c r="H68"/>
  <c r="I68"/>
  <c r="J68"/>
  <c r="K68"/>
  <c r="L68"/>
  <c r="M68"/>
  <c r="N68"/>
  <c r="O68"/>
  <c r="P68"/>
  <c r="D45"/>
  <c r="E45"/>
  <c r="F45"/>
  <c r="G45"/>
  <c r="H45"/>
  <c r="I45"/>
  <c r="J45"/>
  <c r="K45"/>
  <c r="L45"/>
  <c r="M45"/>
  <c r="N45"/>
  <c r="O45"/>
  <c r="P45"/>
  <c r="D33"/>
  <c r="E33"/>
  <c r="F33"/>
  <c r="G33"/>
  <c r="H33"/>
  <c r="I33"/>
  <c r="J33"/>
  <c r="K33"/>
  <c r="L33"/>
  <c r="M33"/>
  <c r="N33"/>
  <c r="O33"/>
  <c r="P33"/>
  <c r="D30"/>
  <c r="Q30" s="1"/>
  <c r="E30"/>
  <c r="F30"/>
  <c r="G30"/>
  <c r="H30"/>
  <c r="I30"/>
  <c r="J30"/>
  <c r="K30"/>
  <c r="L30"/>
  <c r="M30"/>
  <c r="N30"/>
  <c r="O30"/>
  <c r="P30"/>
  <c r="P11"/>
  <c r="O11"/>
  <c r="N11"/>
  <c r="M11"/>
  <c r="L11"/>
  <c r="K11"/>
  <c r="J11"/>
  <c r="I11"/>
  <c r="H11"/>
  <c r="G11"/>
  <c r="F11"/>
  <c r="E11"/>
  <c r="D11"/>
  <c r="P10" l="1"/>
  <c r="Q33"/>
  <c r="Q68"/>
  <c r="E80"/>
  <c r="Q88"/>
  <c r="Q115"/>
  <c r="Q135"/>
  <c r="Q145"/>
  <c r="Q156"/>
  <c r="D164"/>
  <c r="Q164" s="1"/>
  <c r="Q165"/>
  <c r="Q45"/>
  <c r="Q82"/>
  <c r="Q93"/>
  <c r="Q106"/>
  <c r="Q129"/>
  <c r="Q139"/>
  <c r="Q149"/>
  <c r="Q11"/>
  <c r="N114"/>
  <c r="J114"/>
  <c r="F114"/>
  <c r="G80"/>
  <c r="P80"/>
  <c r="D80"/>
  <c r="J240"/>
  <c r="J196" s="1"/>
  <c r="M114"/>
  <c r="E114"/>
  <c r="L114"/>
  <c r="H114"/>
  <c r="D114"/>
  <c r="O114"/>
  <c r="K114"/>
  <c r="G114"/>
  <c r="I114"/>
  <c r="Q80" l="1"/>
  <c r="K240"/>
  <c r="K196" s="1"/>
  <c r="L240" l="1"/>
  <c r="L196" s="1"/>
  <c r="M240" l="1"/>
  <c r="M196" s="1"/>
  <c r="D10"/>
  <c r="L10"/>
  <c r="H10"/>
  <c r="O10"/>
  <c r="K10"/>
  <c r="G10"/>
  <c r="G9" s="1"/>
  <c r="G269" s="1"/>
  <c r="F10"/>
  <c r="F9" s="1"/>
  <c r="F269" s="1"/>
  <c r="N10"/>
  <c r="J10"/>
  <c r="J9" s="1"/>
  <c r="J269" s="1"/>
  <c r="E10"/>
  <c r="E9" s="1"/>
  <c r="E269" s="1"/>
  <c r="M10"/>
  <c r="I10"/>
  <c r="I9" s="1"/>
  <c r="I269" s="1"/>
  <c r="Q10" l="1"/>
  <c r="M9"/>
  <c r="M269" s="1"/>
  <c r="N240"/>
  <c r="N196" s="1"/>
  <c r="N9" s="1"/>
  <c r="N269" s="1"/>
  <c r="K9"/>
  <c r="K269" s="1"/>
  <c r="H9"/>
  <c r="H269" s="1"/>
  <c r="D9"/>
  <c r="D269" s="1"/>
  <c r="L9"/>
  <c r="L269" s="1"/>
  <c r="O240" l="1"/>
  <c r="Q240" s="1"/>
  <c r="O196" l="1"/>
  <c r="Q196" s="1"/>
  <c r="O9" l="1"/>
  <c r="O269" s="1"/>
  <c r="P126" l="1"/>
  <c r="P114" l="1"/>
  <c r="Q114" s="1"/>
  <c r="Q126"/>
  <c r="P9" l="1"/>
  <c r="Q9"/>
  <c r="P269"/>
  <c r="Q269" s="1"/>
</calcChain>
</file>

<file path=xl/sharedStrings.xml><?xml version="1.0" encoding="utf-8"?>
<sst xmlns="http://schemas.openxmlformats.org/spreadsheetml/2006/main" count="293" uniqueCount="261">
  <si>
    <t>Village Health &amp; Nutrition Day (VHND)</t>
  </si>
  <si>
    <t>Pregnancy Registration and Ante-Natal Checkups</t>
  </si>
  <si>
    <t>Janani Suraksha Yojana (JSY)</t>
  </si>
  <si>
    <t>Janani Shishu Suraksha Karyakram (JSSK) (excluding transport)</t>
  </si>
  <si>
    <t>Janani Shishu Suraksha Karyakram (JSSK) - transport</t>
  </si>
  <si>
    <t>Pradhan Mantri Surakshit Matritva Abhiyan (PMSMA)</t>
  </si>
  <si>
    <t>Surakshit Matritva Aashwasan (SUMAN)</t>
  </si>
  <si>
    <t>Midwifery</t>
  </si>
  <si>
    <t>Maternal Death Review</t>
  </si>
  <si>
    <t>Comprehensive Abortion Care</t>
  </si>
  <si>
    <t>MCH wings</t>
  </si>
  <si>
    <t>FRUs</t>
  </si>
  <si>
    <t>HDU/ICU - Maternal Health</t>
  </si>
  <si>
    <t>Labour Rooms (LDR + NBCCs)</t>
  </si>
  <si>
    <t>LaQshya</t>
  </si>
  <si>
    <t>Implementation of RCH Portal/ANMOL/MCTS</t>
  </si>
  <si>
    <t>Other MH Components</t>
  </si>
  <si>
    <t>State specific Initiatives and Innovations</t>
  </si>
  <si>
    <t>PC &amp; PNDT Act</t>
  </si>
  <si>
    <t>Gender Based Violence &amp; Medico Legal Care For Survivors Victims of Sexual Violence</t>
  </si>
  <si>
    <t>Rashtriya Bal Swasthya Karyakram (RBSK)</t>
  </si>
  <si>
    <t>RBSK at Facility Level including District Early Intervention Centers (DEIC)</t>
  </si>
  <si>
    <t>Facility Based New born Care</t>
  </si>
  <si>
    <t>Child Death Review</t>
  </si>
  <si>
    <t>SAANS</t>
  </si>
  <si>
    <t xml:space="preserve">Paediatric Care </t>
  </si>
  <si>
    <t>Other Child Health Components</t>
  </si>
  <si>
    <t>Immunization including Mission Indradhanush</t>
  </si>
  <si>
    <t>Pulse polio Campaign</t>
  </si>
  <si>
    <t>eVIN Operational Cost</t>
  </si>
  <si>
    <t>Adolescent Friendly Health Clinics</t>
  </si>
  <si>
    <t>Weekly Iron Folic Supplement (WIFS)</t>
  </si>
  <si>
    <t>Menstrual Hygiene Scheme (MHS)</t>
  </si>
  <si>
    <t>Peer Educator Programme</t>
  </si>
  <si>
    <t>School Health And Wellness Program under Ayushman Bharat</t>
  </si>
  <si>
    <t>Other Adolescent Health Components</t>
  </si>
  <si>
    <t>Sterilization - Female</t>
  </si>
  <si>
    <t>Sterilization - Male</t>
  </si>
  <si>
    <t>IUCD Insertion (PPIUCD and PAIUCD)</t>
  </si>
  <si>
    <t>ANTARA</t>
  </si>
  <si>
    <t>MPV(Mission Parivar Vikas)</t>
  </si>
  <si>
    <t>Family Planning Indemnity Scheme</t>
  </si>
  <si>
    <t>FPLMIS</t>
  </si>
  <si>
    <t>World Population Day and Vasectomy fortnight</t>
  </si>
  <si>
    <t>Other Family Planning Components</t>
  </si>
  <si>
    <t>Anaemia Mukt Bharat</t>
  </si>
  <si>
    <t>National Deworming Day</t>
  </si>
  <si>
    <t>Nutritional Rehabilitation Centers (NRC)</t>
  </si>
  <si>
    <t>Vitamin A Supplementation</t>
  </si>
  <si>
    <t>Mother's Absolute Affection (MAA)</t>
  </si>
  <si>
    <t>Lactation Management Centers</t>
  </si>
  <si>
    <t>Intensified Diarrhoea Control Fortnight</t>
  </si>
  <si>
    <t>Eat Right Campaign</t>
  </si>
  <si>
    <t>Other Nutrition Components</t>
  </si>
  <si>
    <t>Malaria</t>
  </si>
  <si>
    <t>Kala-azar</t>
  </si>
  <si>
    <t>AES/JE</t>
  </si>
  <si>
    <t>Dengue &amp; Chikungunya</t>
  </si>
  <si>
    <t>Lymphatic Filariasis</t>
  </si>
  <si>
    <t>District Awards</t>
  </si>
  <si>
    <t>Other NLEP Components</t>
  </si>
  <si>
    <t>Drug Sensitive TB (DSTB)</t>
  </si>
  <si>
    <t>Nikshay Poshan Yojana</t>
  </si>
  <si>
    <t>PPP</t>
  </si>
  <si>
    <t>Latent TB Infection (LTBI)</t>
  </si>
  <si>
    <t>Drug Resistant TB(DRTB)</t>
  </si>
  <si>
    <t>TB Harega Desh Jeetega Campaign</t>
  </si>
  <si>
    <t>Prevention</t>
  </si>
  <si>
    <t>Screening and Testing through facilities</t>
  </si>
  <si>
    <t>Screening and Testing through NGOs</t>
  </si>
  <si>
    <t>Treatment</t>
  </si>
  <si>
    <t>Implementation of State specific Initiatives and Innovations</t>
  </si>
  <si>
    <t>Cataract Surgeries through facilities</t>
  </si>
  <si>
    <t>Cataract Surgeries through NGOs</t>
  </si>
  <si>
    <t>Other Ophthalmic Interventions through facilities</t>
  </si>
  <si>
    <t>Other Ophthalmic Interventions through NGOs</t>
  </si>
  <si>
    <t>Mobile Ophthalmic Units</t>
  </si>
  <si>
    <t>Collection of eye balls by eye banks and eye donation centres</t>
  </si>
  <si>
    <t>Free spectacles to school children</t>
  </si>
  <si>
    <t>Free spectacles to others</t>
  </si>
  <si>
    <t>Grant in Aid for the health institutions, Eye Bank, NGO, Private Practioners</t>
  </si>
  <si>
    <t>Other NPCB+VI components</t>
  </si>
  <si>
    <t>Implementation of District Mental Health Plan</t>
  </si>
  <si>
    <t>Geriatric Care at DH</t>
  </si>
  <si>
    <t>Geriatric Care at CHC/SDH</t>
  </si>
  <si>
    <t>Geriatric Care at PHC/ SHC</t>
  </si>
  <si>
    <t xml:space="preserve">Community Based Intervention </t>
  </si>
  <si>
    <t xml:space="preserve">Implementation of COTPA - 2003 </t>
  </si>
  <si>
    <t xml:space="preserve">Implementation of ToEFI guideline </t>
  </si>
  <si>
    <t>Tobacco Cessation</t>
  </si>
  <si>
    <t>NCD Clinics at DH</t>
  </si>
  <si>
    <t>NCD Clinics at CHC/SDH</t>
  </si>
  <si>
    <t>Cardiac Care Unit (CCU/ICU) including STEMI</t>
  </si>
  <si>
    <t>Other NPCDCS Components</t>
  </si>
  <si>
    <t>Haemodialysis Services</t>
  </si>
  <si>
    <t>Peritoneal Dialysis Services</t>
  </si>
  <si>
    <t>Implementation at DH</t>
  </si>
  <si>
    <t>Implementation at CHC/SDH</t>
  </si>
  <si>
    <t>Mobile Dental Units/Van</t>
  </si>
  <si>
    <t>Screening of Deafness</t>
  </si>
  <si>
    <t>Management of Deafness</t>
  </si>
  <si>
    <t>State Specific Initiatives</t>
  </si>
  <si>
    <t>Support for Burn Units</t>
  </si>
  <si>
    <t>Support for Emergency Trauma Care</t>
  </si>
  <si>
    <t>Development and operations of Health &amp; Wellness Centers - Urban</t>
  </si>
  <si>
    <t>Wellness activities at HWCs- Urban</t>
  </si>
  <si>
    <t>Teleconsultation facilities at HWCs-Urban</t>
  </si>
  <si>
    <t>ASHA (including ASHA Certification and ASHA benefit package)</t>
  </si>
  <si>
    <t>MAS</t>
  </si>
  <si>
    <t>JAS</t>
  </si>
  <si>
    <t>RKS</t>
  </si>
  <si>
    <t>Outreach activities</t>
  </si>
  <si>
    <t>Mapping of slums and vulnerable population</t>
  </si>
  <si>
    <t>Other Community Engagement Components</t>
  </si>
  <si>
    <t>Urban PHCs</t>
  </si>
  <si>
    <t>Urban CHCs and Maternity Homes</t>
  </si>
  <si>
    <t>Quality Assurance Implementation &amp; Mera Aspataal</t>
  </si>
  <si>
    <t>Kayakalp</t>
  </si>
  <si>
    <t>Swacch Swasth Sarvatra</t>
  </si>
  <si>
    <t>Incentives(Allowance, Incentives, staff welfare fund)</t>
  </si>
  <si>
    <t>Incentives under CPHC</t>
  </si>
  <si>
    <t>Costs for HR Recruitment and Outsourcing</t>
  </si>
  <si>
    <t xml:space="preserve">Planning and Program Management </t>
  </si>
  <si>
    <t>State specific Programme Innovations and Interventions</t>
  </si>
  <si>
    <t>Untied Fund</t>
  </si>
  <si>
    <t>Development and operations of Health &amp; Wellness Centers - Rural</t>
  </si>
  <si>
    <t>Wellness activities at HWCs- Rural</t>
  </si>
  <si>
    <t>Teleconsultation facilities at HWCs-Rural</t>
  </si>
  <si>
    <t>CHO Mentoring</t>
  </si>
  <si>
    <t>Screening for Blood Disorders</t>
  </si>
  <si>
    <t>Support for Blood Transfusion</t>
  </si>
  <si>
    <t xml:space="preserve">Blood Bank/BCSU/BSU/Thalassemia Day Care Centre </t>
  </si>
  <si>
    <t>Blood collection and Transport Vans</t>
  </si>
  <si>
    <t>Other  Blood Services &amp; Disorders Components</t>
  </si>
  <si>
    <t>VHSNC</t>
  </si>
  <si>
    <t>Other Community Engagements Components</t>
  </si>
  <si>
    <t>District Hospitals</t>
  </si>
  <si>
    <t>Sub-District Hospitals</t>
  </si>
  <si>
    <t>Community Health Centers</t>
  </si>
  <si>
    <t>Primary Health Centers</t>
  </si>
  <si>
    <t>Sub-Health Centers</t>
  </si>
  <si>
    <t>Other Infrastructure/Civil works/expansion etc.</t>
  </si>
  <si>
    <t>Advance Life Saving Ambulances</t>
  </si>
  <si>
    <t>Basic Life Saving Ambulances</t>
  </si>
  <si>
    <t>Patient Transport Vehicle</t>
  </si>
  <si>
    <t>Other Ambulances</t>
  </si>
  <si>
    <t>Comprehensive Grievance Redressal Mechanism</t>
  </si>
  <si>
    <t>Free Drugs Services Initiative</t>
  </si>
  <si>
    <t>Free Diagnostics Services Initiative</t>
  </si>
  <si>
    <t>Mobile Medical Units</t>
  </si>
  <si>
    <t>State specific Programme Interventions and Innovations</t>
  </si>
  <si>
    <t>Biomedical Equipment Management System and AERB</t>
  </si>
  <si>
    <t>Remuneration for CHOs</t>
  </si>
  <si>
    <t>Human Resource Information Systems (HRIS)</t>
  </si>
  <si>
    <t>DNB/CPS courses for Medical doctors</t>
  </si>
  <si>
    <t>Training Institutes and Skill Labs</t>
  </si>
  <si>
    <t>SHSRC / ILC (Innovation &amp; Learning Centre)</t>
  </si>
  <si>
    <t>Health Management Information System (HMIS)</t>
  </si>
  <si>
    <t>Implementation of DVDMS</t>
  </si>
  <si>
    <t>eSanjeevani (OPD+HWC)</t>
  </si>
  <si>
    <t>RCH</t>
  </si>
  <si>
    <t>Health System Strengthening (HSS) - Urban</t>
  </si>
  <si>
    <t>Health System Strengthening (HSS) Rural</t>
  </si>
  <si>
    <t>Maternal Health (excluding Planning &amp; M&amp;E)</t>
  </si>
  <si>
    <t>RCH (including RI, IPPI, NIDDCP)</t>
  </si>
  <si>
    <t>PC &amp; PNDT Act (excluding Planning &amp; M&amp;E)</t>
  </si>
  <si>
    <t>Child Health (excluding Planning &amp; M&amp;E)</t>
  </si>
  <si>
    <t>Immunization (excluding Planning &amp; M&amp;E)</t>
  </si>
  <si>
    <t>Adolescent Health (excluding Planning &amp; M&amp;E)</t>
  </si>
  <si>
    <t>Family Planning (excluding Planning &amp; M&amp;E)</t>
  </si>
  <si>
    <t>Nutrition (excluding Planning &amp; M&amp;E)</t>
  </si>
  <si>
    <t>Implementation of National Iodine Deficiency Disorders Control Programme (NIDDCP) (excluding Planning &amp; M&amp;E)</t>
  </si>
  <si>
    <t>Implementation of Integrated Disease Surveillance Programme (IDSP) (excluding Planning &amp; M&amp;E)</t>
  </si>
  <si>
    <t>National Vector Borne Disease Control Programme (NVBDCP) (excluding Planning &amp; M&amp;E)</t>
  </si>
  <si>
    <t>National Leprosy Eradication Programme (NLEP) (excluding Planning &amp; M&amp;E)</t>
  </si>
  <si>
    <t>National Tuberculosis Elimination Programme (NTEP) (excluding Planning &amp; M&amp;E)</t>
  </si>
  <si>
    <t>National Viral Hepatitis Control Programme (NVHCP) (excluding Planning &amp; M&amp;E)</t>
  </si>
  <si>
    <t>Implementation of National Rabies Control Programme (NRCP) (excluding Planning &amp; M&amp;E)</t>
  </si>
  <si>
    <t>Implementation of Programme for Prevention and Control of Leptospirosis (PPCL) (excluding Planning &amp; M&amp;E)</t>
  </si>
  <si>
    <t>Implementation of State specific Initiatives and Innovations (excluding Planning &amp; M&amp;E)</t>
  </si>
  <si>
    <t>National Program for Control of Blindness and Vision Impairment (NPCB+VI) (excluding Planning &amp; M&amp;E)</t>
  </si>
  <si>
    <t>National Mental Health Program (NMHP) (excluding Planning &amp; M&amp;E)</t>
  </si>
  <si>
    <t>National Programme for Health Care for the Elderly (NPHCE) (excluding Planning &amp; M&amp;E)</t>
  </si>
  <si>
    <t>National Tobacco Control Programme (NTCP) (excluding Planning &amp; M&amp;E)</t>
  </si>
  <si>
    <t>National Programme for Prevention and Control of Diabetes, Cardiovascular Disease and Stroke (NPCDCS) (excluding Planning &amp; M&amp;E)</t>
  </si>
  <si>
    <t>Implementation of National Program for Climate Change and Human Health (NPCCHH)</t>
  </si>
  <si>
    <t>Implementation of National Programme for Prevention and Control of Fluorosis (NPPCF)</t>
  </si>
  <si>
    <t>Human Resources for Health</t>
  </si>
  <si>
    <t>Remuneration for all NHM HR- SD</t>
  </si>
  <si>
    <t>Remuneration for all NHM HR- PM</t>
  </si>
  <si>
    <t>Incentives (Allowance, Incentives, staff welfare fund)</t>
  </si>
  <si>
    <t>HSS(U)</t>
  </si>
  <si>
    <t xml:space="preserve">HSS(R) </t>
  </si>
  <si>
    <t>National Disease Control Programmes (NDCP)</t>
  </si>
  <si>
    <t>Non-Communicable Disease Control Programme (NCD)</t>
  </si>
  <si>
    <t>Pradhan Mantri National Dialysis Programme (PMNDP) (excluding Planning &amp; M&amp;E)</t>
  </si>
  <si>
    <t>National Oral Health Programme (NOHP) (excluding Planning &amp; M&amp;E)</t>
  </si>
  <si>
    <t>Implementation of National Programme on Palliative Care (NPPC) (excluding Planning &amp; M&amp;E)</t>
  </si>
  <si>
    <t>National Programme for Prevention and Control of Deafness (NPPCD) (excluding Planning &amp; M&amp;E)</t>
  </si>
  <si>
    <t>National programme for Prevention and Management of Burn &amp; Injuries (excluding Planning &amp; M&amp;E)</t>
  </si>
  <si>
    <t>Comprehensive Primary Healthcare (CPHC) (excluding Planning &amp; M&amp;E)</t>
  </si>
  <si>
    <t>Community Engagement (excluding Planning &amp; M&amp;E)</t>
  </si>
  <si>
    <t>Public Health Institutions as per IPHS norms (excluding Planning &amp; M&amp;E)</t>
  </si>
  <si>
    <t>Quality Assurance (excluding Planning &amp; M&amp;E)</t>
  </si>
  <si>
    <t>Access (excluding Planning &amp; M&amp;E)</t>
  </si>
  <si>
    <t>Blood Services &amp; Disorders (excluding Planning &amp; M&amp;E)</t>
  </si>
  <si>
    <t>Referral Transport (excluding Planning &amp; M&amp;E)</t>
  </si>
  <si>
    <t>Other Initiatives to improve access (excluding Planning &amp; M&amp;E)</t>
  </si>
  <si>
    <t>Inventory Management (excluding Planning &amp; M&amp;E)</t>
  </si>
  <si>
    <t>Enhancing HR (excluding Planning &amp; M&amp;E)</t>
  </si>
  <si>
    <t>Planning &amp; M&amp;E under other heads</t>
  </si>
  <si>
    <t>IT Interventions and Systems (excluding Planning &amp; M&amp;E)</t>
  </si>
  <si>
    <t>Tribal Patient Support and transportation charges</t>
  </si>
  <si>
    <t>Private Provider Incentive</t>
  </si>
  <si>
    <t>Treatment Supporter Honorarium (Rs 1000)</t>
  </si>
  <si>
    <t>Treatment Supporter Honorarium (Rs 5000)</t>
  </si>
  <si>
    <t>Incentive for Informants (Rs 500)</t>
  </si>
  <si>
    <t>Financial Progress</t>
  </si>
  <si>
    <t>NDCP</t>
  </si>
  <si>
    <t>NCD</t>
  </si>
  <si>
    <t>Program and Technical Assistance</t>
  </si>
  <si>
    <t>Renovation/Repair/Upgradation of facilities for IPHS/NQAS/MUSQAN/SUMAN Compliance</t>
  </si>
  <si>
    <t>Grand Total</t>
  </si>
  <si>
    <t>Case detection and Management</t>
  </si>
  <si>
    <t>DPMR Services: Reconstructive surgeries</t>
  </si>
  <si>
    <t>Budget Allotted as per ROP</t>
  </si>
  <si>
    <t>Infrastructure Maintenance</t>
  </si>
  <si>
    <t>Direction &amp; Administration</t>
  </si>
  <si>
    <t>Sub-Centres</t>
  </si>
  <si>
    <t>Urban Family Welfare Centres (UFWCs)</t>
  </si>
  <si>
    <t>Urban Revamping Scheme (Health Posts)</t>
  </si>
  <si>
    <t>Basic Training for ANM/LHVs</t>
  </si>
  <si>
    <t>Maintenance and Strengthening of Health &amp; FW Training Centres (HFWTCs)</t>
  </si>
  <si>
    <t>Basic Training for MPWs (Male)</t>
  </si>
  <si>
    <t>Total</t>
  </si>
  <si>
    <t>I</t>
  </si>
  <si>
    <t>Flexible Pool for RCH &amp; Health Sysytem Strengthening, National Health programme and National Urban Health Mission</t>
  </si>
  <si>
    <t>II</t>
  </si>
  <si>
    <t>Community Based Care - HBNC &amp; HBYC</t>
  </si>
  <si>
    <t>Dimapur</t>
  </si>
  <si>
    <t>Kiphire</t>
  </si>
  <si>
    <t>Kohima</t>
  </si>
  <si>
    <t>Longleng</t>
  </si>
  <si>
    <t>Mon</t>
  </si>
  <si>
    <t>Mokokchung</t>
  </si>
  <si>
    <t>Noklak</t>
  </si>
  <si>
    <t>Peren</t>
  </si>
  <si>
    <t>Phek</t>
  </si>
  <si>
    <t>Tuensang</t>
  </si>
  <si>
    <t>Wokha</t>
  </si>
  <si>
    <t>Zunheboto</t>
  </si>
  <si>
    <t>State</t>
  </si>
  <si>
    <t>Notes:</t>
  </si>
  <si>
    <t>2. Ensure the fund is distributed as per approvals</t>
  </si>
  <si>
    <t>3. Information to be submitted by 30th Nov 2022.</t>
  </si>
  <si>
    <r>
      <t xml:space="preserve">Bifurcation of Approvals as per ROP for </t>
    </r>
    <r>
      <rPr>
        <b/>
        <sz val="12"/>
        <color rgb="FFFF0000"/>
        <rFont val="Bookman Old Style"/>
        <family val="1"/>
      </rPr>
      <t>input in PMS Portal</t>
    </r>
  </si>
  <si>
    <t>1. Programme Division to insert data for columns filled in Orange colour</t>
  </si>
  <si>
    <t>Data for PMs Portal</t>
  </si>
  <si>
    <t>State Programme/Nodal Officer</t>
  </si>
  <si>
    <t xml:space="preserve"> Finance Consultant/Accounts Manager</t>
  </si>
  <si>
    <t>FMR Code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</si>
</sst>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1"/>
      <name val="Times New Roman"/>
      <family val="1"/>
    </font>
    <font>
      <sz val="12"/>
      <name val="Bookman Old Style"/>
      <family val="1"/>
    </font>
    <font>
      <b/>
      <sz val="12"/>
      <color rgb="FFFF0000"/>
      <name val="Bookman Old Style"/>
      <family val="1"/>
    </font>
    <font>
      <sz val="14"/>
      <name val="Times New Roman"/>
      <family val="1"/>
    </font>
    <font>
      <b/>
      <i/>
      <sz val="14"/>
      <color rgb="FFFF000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00"/>
      </patternFill>
    </fill>
    <fill>
      <patternFill patternType="solid">
        <fgColor theme="0" tint="-0.14999847407452621"/>
        <bgColor rgb="FFB4C6E7"/>
      </patternFill>
    </fill>
    <fill>
      <patternFill patternType="solid">
        <fgColor theme="3" tint="0.79998168889431442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rgb="FFB4C6E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5" fillId="9" borderId="1" xfId="5" applyFont="1" applyFill="1" applyBorder="1" applyAlignment="1">
      <alignment horizontal="center" vertical="center" textRotation="90" wrapText="1"/>
    </xf>
    <xf numFmtId="0" fontId="6" fillId="0" borderId="0" xfId="6" applyFont="1" applyFill="1" applyAlignment="1" applyProtection="1">
      <alignment vertical="center"/>
      <protection locked="0"/>
    </xf>
    <xf numFmtId="2" fontId="5" fillId="9" borderId="1" xfId="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43" fontId="5" fillId="6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1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7" fillId="0" borderId="1" xfId="5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left" vertical="center" wrapText="1"/>
    </xf>
    <xf numFmtId="2" fontId="5" fillId="11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5" applyFont="1" applyAlignment="1">
      <alignment horizontal="center" vertical="center"/>
    </xf>
    <xf numFmtId="164" fontId="9" fillId="0" borderId="0" xfId="7" applyFont="1" applyFill="1" applyAlignment="1" applyProtection="1">
      <alignment vertical="center"/>
      <protection locked="0"/>
    </xf>
    <xf numFmtId="164" fontId="9" fillId="0" borderId="0" xfId="7" applyFont="1" applyFill="1" applyAlignment="1" applyProtection="1">
      <alignment horizontal="left"/>
      <protection locked="0"/>
    </xf>
    <xf numFmtId="43" fontId="5" fillId="9" borderId="1" xfId="5" applyFont="1" applyFill="1" applyBorder="1" applyAlignment="1">
      <alignment horizontal="center" vertical="center" wrapText="1"/>
    </xf>
    <xf numFmtId="43" fontId="5" fillId="2" borderId="2" xfId="5" applyFont="1" applyFill="1" applyBorder="1" applyAlignment="1">
      <alignment horizontal="center" vertical="center"/>
    </xf>
    <xf numFmtId="43" fontId="7" fillId="13" borderId="1" xfId="0" applyNumberFormat="1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7" fillId="12" borderId="0" xfId="0" applyFont="1" applyFill="1" applyAlignment="1">
      <alignment vertical="center"/>
    </xf>
    <xf numFmtId="43" fontId="7" fillId="12" borderId="0" xfId="5" applyFont="1" applyFill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43" fontId="5" fillId="12" borderId="0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43" fontId="7" fillId="13" borderId="1" xfId="0" applyNumberFormat="1" applyFont="1" applyFill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2" fontId="7" fillId="13" borderId="1" xfId="0" applyNumberFormat="1" applyFont="1" applyFill="1" applyBorder="1" applyAlignment="1">
      <alignment vertical="center"/>
    </xf>
    <xf numFmtId="43" fontId="7" fillId="14" borderId="1" xfId="0" applyNumberFormat="1" applyFont="1" applyFill="1" applyBorder="1" applyAlignment="1">
      <alignment vertical="center"/>
    </xf>
    <xf numFmtId="0" fontId="7" fillId="14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vertical="center" wrapText="1"/>
    </xf>
    <xf numFmtId="43" fontId="7" fillId="15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vertical="center"/>
    </xf>
    <xf numFmtId="0" fontId="7" fillId="15" borderId="0" xfId="0" applyFont="1" applyFill="1" applyAlignment="1">
      <alignment vertical="center"/>
    </xf>
    <xf numFmtId="2" fontId="5" fillId="9" borderId="1" xfId="4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4" fontId="11" fillId="6" borderId="3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0" fontId="12" fillId="1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2" fontId="12" fillId="2" borderId="4" xfId="0" applyNumberFormat="1" applyFont="1" applyFill="1" applyBorder="1" applyAlignment="1">
      <alignment vertical="center" wrapText="1"/>
    </xf>
    <xf numFmtId="4" fontId="14" fillId="6" borderId="3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5" fillId="9" borderId="1" xfId="4" applyNumberFormat="1" applyFont="1" applyFill="1" applyBorder="1" applyAlignment="1">
      <alignment vertical="center" wrapText="1"/>
    </xf>
    <xf numFmtId="43" fontId="7" fillId="0" borderId="1" xfId="5" applyFont="1" applyFill="1" applyBorder="1" applyAlignment="1">
      <alignment vertical="center"/>
    </xf>
    <xf numFmtId="2" fontId="13" fillId="2" borderId="4" xfId="0" applyNumberFormat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9">
    <cellStyle name="Comma" xfId="5" builtinId="3"/>
    <cellStyle name="Comma 10" xfId="4"/>
    <cellStyle name="Comma 13" xfId="3"/>
    <cellStyle name="Comma 2" xfId="2"/>
    <cellStyle name="Comma 2 2" xfId="7"/>
    <cellStyle name="Comma 2 3" xfId="8"/>
    <cellStyle name="Normal" xfId="0" builtinId="0"/>
    <cellStyle name="Normal 2" xfId="1"/>
    <cellStyle name="Normal 6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1"/>
  <sheetViews>
    <sheetView tabSelected="1" topLeftCell="A7" zoomScale="70" zoomScaleNormal="70" workbookViewId="0">
      <selection activeCell="D8" sqref="D8:Q9"/>
    </sheetView>
  </sheetViews>
  <sheetFormatPr defaultRowHeight="15.75"/>
  <cols>
    <col min="1" max="1" width="10.28515625" style="26" customWidth="1"/>
    <col min="2" max="2" width="63" style="4" customWidth="1"/>
    <col min="3" max="3" width="20.85546875" style="27" customWidth="1"/>
    <col min="4" max="15" width="13" style="4" customWidth="1"/>
    <col min="16" max="16" width="16" style="4" customWidth="1"/>
    <col min="17" max="17" width="14.5703125" style="4" customWidth="1"/>
    <col min="18" max="16384" width="9.140625" style="4"/>
  </cols>
  <sheetData>
    <row r="1" spans="1:17" ht="36" customHeight="1">
      <c r="A1" s="74" t="s">
        <v>257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6.5" customHeight="1">
      <c r="A2" s="38"/>
      <c r="B2" s="39" t="s">
        <v>252</v>
      </c>
    </row>
    <row r="3" spans="1:17" ht="27" customHeight="1">
      <c r="A3" s="38"/>
      <c r="B3" s="39" t="s">
        <v>256</v>
      </c>
    </row>
    <row r="4" spans="1:17" ht="24" customHeight="1">
      <c r="A4" s="38"/>
      <c r="B4" s="39" t="s">
        <v>253</v>
      </c>
    </row>
    <row r="5" spans="1:17" ht="27" customHeight="1">
      <c r="A5" s="38"/>
      <c r="B5" s="39" t="s">
        <v>254</v>
      </c>
    </row>
    <row r="6" spans="1:17">
      <c r="A6" s="34"/>
      <c r="B6" s="35"/>
      <c r="C6" s="36"/>
    </row>
    <row r="7" spans="1:17" ht="15.75" customHeight="1">
      <c r="A7" s="72" t="s">
        <v>260</v>
      </c>
      <c r="B7" s="72"/>
      <c r="C7" s="30" t="s">
        <v>217</v>
      </c>
      <c r="D7" s="73" t="s">
        <v>255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37"/>
    </row>
    <row r="8" spans="1:17" ht="98.25" customHeight="1">
      <c r="A8" s="72"/>
      <c r="B8" s="72"/>
      <c r="C8" s="1" t="s">
        <v>225</v>
      </c>
      <c r="D8" s="37" t="s">
        <v>239</v>
      </c>
      <c r="E8" s="37" t="s">
        <v>240</v>
      </c>
      <c r="F8" s="37" t="s">
        <v>241</v>
      </c>
      <c r="G8" s="37" t="s">
        <v>242</v>
      </c>
      <c r="H8" s="37" t="s">
        <v>243</v>
      </c>
      <c r="I8" s="37" t="s">
        <v>244</v>
      </c>
      <c r="J8" s="37" t="s">
        <v>245</v>
      </c>
      <c r="K8" s="37" t="s">
        <v>246</v>
      </c>
      <c r="L8" s="37" t="s">
        <v>247</v>
      </c>
      <c r="M8" s="37" t="s">
        <v>248</v>
      </c>
      <c r="N8" s="37" t="s">
        <v>249</v>
      </c>
      <c r="O8" s="37" t="s">
        <v>250</v>
      </c>
      <c r="P8" s="37" t="s">
        <v>251</v>
      </c>
      <c r="Q8" s="37" t="s">
        <v>234</v>
      </c>
    </row>
    <row r="9" spans="1:17" ht="48" thickBot="1">
      <c r="A9" s="5" t="s">
        <v>235</v>
      </c>
      <c r="B9" s="6" t="s">
        <v>236</v>
      </c>
      <c r="C9" s="50">
        <f>C10+C80+C114+C164+C196</f>
        <v>21979.359999999997</v>
      </c>
      <c r="D9" s="3">
        <f t="shared" ref="D9:O9" si="0">+D10+D80+D114+D164+D196</f>
        <v>1304.9454263263403</v>
      </c>
      <c r="E9" s="3">
        <f t="shared" si="0"/>
        <v>1078.8818109417248</v>
      </c>
      <c r="F9" s="3">
        <f t="shared" si="0"/>
        <v>1194.284294941725</v>
      </c>
      <c r="G9" s="3">
        <f t="shared" si="0"/>
        <v>1058.135310941725</v>
      </c>
      <c r="H9" s="3">
        <f t="shared" si="0"/>
        <v>1139.9946229417249</v>
      </c>
      <c r="I9" s="3">
        <f t="shared" si="0"/>
        <v>1144.6866509417248</v>
      </c>
      <c r="J9" s="3">
        <f t="shared" si="0"/>
        <v>895.79647948717945</v>
      </c>
      <c r="K9" s="3">
        <f t="shared" si="0"/>
        <v>1070.4703849417249</v>
      </c>
      <c r="L9" s="3">
        <f t="shared" si="0"/>
        <v>1102.8338769417251</v>
      </c>
      <c r="M9" s="3">
        <f t="shared" si="0"/>
        <v>1124.9909509417248</v>
      </c>
      <c r="N9" s="3">
        <f t="shared" si="0"/>
        <v>1119.7391389417248</v>
      </c>
      <c r="O9" s="3">
        <f t="shared" si="0"/>
        <v>1099.6696229417248</v>
      </c>
      <c r="P9" s="3">
        <f t="shared" ref="P9" si="1">+P10+P80+P114+P164+P196</f>
        <v>8644.9476917076936</v>
      </c>
      <c r="Q9" s="3">
        <f>SUM(D9:P9)</f>
        <v>21979.376262938466</v>
      </c>
    </row>
    <row r="10" spans="1:17" ht="14.45" customHeight="1" thickBot="1">
      <c r="A10" s="7" t="s">
        <v>160</v>
      </c>
      <c r="B10" s="8" t="s">
        <v>164</v>
      </c>
      <c r="C10" s="51">
        <f>C11+C30+C33+C45+C49+C57+C68+C79</f>
        <v>3485.38</v>
      </c>
      <c r="D10" s="9">
        <f t="shared" ref="D10:O10" si="2">D11+D30+D33+D45+D49+D57+D68+D79</f>
        <v>243.58982051282052</v>
      </c>
      <c r="E10" s="9">
        <f t="shared" si="2"/>
        <v>138.33683333333335</v>
      </c>
      <c r="F10" s="9">
        <f t="shared" si="2"/>
        <v>191.74783333333335</v>
      </c>
      <c r="G10" s="9">
        <f t="shared" si="2"/>
        <v>113.71933333333334</v>
      </c>
      <c r="H10" s="9">
        <f t="shared" si="2"/>
        <v>180.68333333333334</v>
      </c>
      <c r="I10" s="9">
        <f t="shared" si="2"/>
        <v>165.82583333333335</v>
      </c>
      <c r="J10" s="9">
        <f t="shared" si="2"/>
        <v>94.517833333333328</v>
      </c>
      <c r="K10" s="9">
        <f t="shared" si="2"/>
        <v>129.70083333333332</v>
      </c>
      <c r="L10" s="9">
        <f t="shared" si="2"/>
        <v>150.55900333333335</v>
      </c>
      <c r="M10" s="9">
        <f t="shared" si="2"/>
        <v>149.87183333333331</v>
      </c>
      <c r="N10" s="9">
        <f t="shared" si="2"/>
        <v>154.46733333333333</v>
      </c>
      <c r="O10" s="9">
        <f t="shared" si="2"/>
        <v>148.79533333333333</v>
      </c>
      <c r="P10" s="9">
        <f>P11+P30+P33+P45+P49+P57+P68+P79</f>
        <v>1623.58</v>
      </c>
      <c r="Q10" s="9">
        <f>SUM(D10:P10)</f>
        <v>3485.3951571794869</v>
      </c>
    </row>
    <row r="11" spans="1:17" ht="32.25" customHeight="1" thickBot="1">
      <c r="A11" s="10"/>
      <c r="B11" s="11" t="s">
        <v>163</v>
      </c>
      <c r="C11" s="52">
        <f>SUM(C12:C29)</f>
        <v>1189.1600000000001</v>
      </c>
      <c r="D11" s="31">
        <f t="shared" ref="D11:O11" si="3">SUM(D12:D29)</f>
        <v>80.932500000000019</v>
      </c>
      <c r="E11" s="31">
        <f t="shared" si="3"/>
        <v>33.782500000000006</v>
      </c>
      <c r="F11" s="31">
        <f t="shared" si="3"/>
        <v>60.422500000000007</v>
      </c>
      <c r="G11" s="31">
        <f t="shared" si="3"/>
        <v>22.452500000000001</v>
      </c>
      <c r="H11" s="31">
        <f t="shared" si="3"/>
        <v>60.752500000000012</v>
      </c>
      <c r="I11" s="31">
        <f t="shared" si="3"/>
        <v>46.302500000000009</v>
      </c>
      <c r="J11" s="31">
        <f t="shared" si="3"/>
        <v>15.212500000000002</v>
      </c>
      <c r="K11" s="31">
        <f t="shared" si="3"/>
        <v>31.8325</v>
      </c>
      <c r="L11" s="31">
        <f t="shared" si="3"/>
        <v>45.462500000000006</v>
      </c>
      <c r="M11" s="31">
        <f t="shared" si="3"/>
        <v>45.142500000000005</v>
      </c>
      <c r="N11" s="31">
        <f t="shared" si="3"/>
        <v>46.842500000000008</v>
      </c>
      <c r="O11" s="31">
        <f t="shared" si="3"/>
        <v>46.202500000000008</v>
      </c>
      <c r="P11" s="31">
        <f t="shared" ref="P11" si="4">SUM(P12:P29)</f>
        <v>653.82000000000005</v>
      </c>
      <c r="Q11" s="31">
        <f>SUM(D11:P11)</f>
        <v>1189.1600000000001</v>
      </c>
    </row>
    <row r="12" spans="1:17" ht="16.5" thickBot="1">
      <c r="A12" s="13">
        <v>1</v>
      </c>
      <c r="B12" s="14" t="s">
        <v>0</v>
      </c>
      <c r="C12" s="53">
        <v>93.67</v>
      </c>
      <c r="D12" s="32">
        <v>9.92</v>
      </c>
      <c r="E12" s="32">
        <v>10.84</v>
      </c>
      <c r="F12" s="32">
        <v>7.2</v>
      </c>
      <c r="G12" s="32">
        <v>4.05</v>
      </c>
      <c r="H12" s="32">
        <v>9.4499999999999993</v>
      </c>
      <c r="I12" s="32">
        <v>5.24</v>
      </c>
      <c r="J12" s="32">
        <v>3.6</v>
      </c>
      <c r="K12" s="32">
        <v>6.08</v>
      </c>
      <c r="L12" s="32">
        <v>7.89</v>
      </c>
      <c r="M12" s="32">
        <v>7.68</v>
      </c>
      <c r="N12" s="32">
        <v>9.1999999999999993</v>
      </c>
      <c r="O12" s="32">
        <v>12.52</v>
      </c>
      <c r="P12" s="33">
        <v>0</v>
      </c>
      <c r="Q12" s="40">
        <f>SUM(D12:P12)</f>
        <v>93.669999999999987</v>
      </c>
    </row>
    <row r="13" spans="1:17" ht="16.5" thickBot="1">
      <c r="A13" s="13">
        <v>2</v>
      </c>
      <c r="B13" s="14" t="s">
        <v>1</v>
      </c>
      <c r="C13" s="5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40">
        <f t="shared" ref="Q13:Q76" si="5">SUM(D13:P13)</f>
        <v>0</v>
      </c>
    </row>
    <row r="14" spans="1:17" ht="16.5" thickBot="1">
      <c r="A14" s="13">
        <v>3</v>
      </c>
      <c r="B14" s="14" t="s">
        <v>2</v>
      </c>
      <c r="C14" s="53">
        <v>132.15</v>
      </c>
      <c r="D14" s="32">
        <v>18.5</v>
      </c>
      <c r="E14" s="32">
        <v>6.6</v>
      </c>
      <c r="F14" s="32">
        <v>13.5</v>
      </c>
      <c r="G14" s="32">
        <v>5</v>
      </c>
      <c r="H14" s="32">
        <v>14.5</v>
      </c>
      <c r="I14" s="32">
        <v>10.5</v>
      </c>
      <c r="J14" s="32">
        <v>2.5</v>
      </c>
      <c r="K14" s="32">
        <v>7.1</v>
      </c>
      <c r="L14" s="32">
        <v>10.5</v>
      </c>
      <c r="M14" s="32">
        <v>10.5</v>
      </c>
      <c r="N14" s="32">
        <v>10.5</v>
      </c>
      <c r="O14" s="32">
        <v>9.8000000000000007</v>
      </c>
      <c r="P14" s="33">
        <v>12.65</v>
      </c>
      <c r="Q14" s="40">
        <f t="shared" si="5"/>
        <v>132.14999999999998</v>
      </c>
    </row>
    <row r="15" spans="1:17" ht="32.25" thickBot="1">
      <c r="A15" s="13">
        <v>4</v>
      </c>
      <c r="B15" s="14" t="s">
        <v>3</v>
      </c>
      <c r="C15" s="53">
        <v>348.73</v>
      </c>
      <c r="D15" s="32">
        <v>12.46</v>
      </c>
      <c r="E15" s="32">
        <v>2.4900000000000002</v>
      </c>
      <c r="F15" s="32">
        <v>8.86</v>
      </c>
      <c r="G15" s="32">
        <v>1.65</v>
      </c>
      <c r="H15" s="32">
        <v>8.25</v>
      </c>
      <c r="I15" s="32">
        <v>6.33</v>
      </c>
      <c r="J15" s="32">
        <v>0.9</v>
      </c>
      <c r="K15" s="32">
        <v>3.11</v>
      </c>
      <c r="L15" s="32">
        <v>5.36</v>
      </c>
      <c r="M15" s="32">
        <v>5.71</v>
      </c>
      <c r="N15" s="32">
        <v>5.45</v>
      </c>
      <c r="O15" s="32">
        <v>4.62</v>
      </c>
      <c r="P15" s="33">
        <v>283.54000000000002</v>
      </c>
      <c r="Q15" s="40">
        <f t="shared" si="5"/>
        <v>348.73</v>
      </c>
    </row>
    <row r="16" spans="1:17" ht="32.25" thickBot="1">
      <c r="A16" s="13">
        <v>5</v>
      </c>
      <c r="B16" s="14" t="s">
        <v>4</v>
      </c>
      <c r="C16" s="53">
        <v>182</v>
      </c>
      <c r="D16" s="32">
        <v>32.200000000000003</v>
      </c>
      <c r="E16" s="32">
        <v>6.3</v>
      </c>
      <c r="F16" s="32">
        <v>23.01</v>
      </c>
      <c r="G16" s="32">
        <v>4.2</v>
      </c>
      <c r="H16" s="32">
        <v>21</v>
      </c>
      <c r="I16" s="32">
        <v>16.38</v>
      </c>
      <c r="J16" s="32">
        <v>2.8</v>
      </c>
      <c r="K16" s="32">
        <v>7.99</v>
      </c>
      <c r="L16" s="32">
        <v>13.86</v>
      </c>
      <c r="M16" s="32">
        <v>14</v>
      </c>
      <c r="N16" s="32">
        <v>14.14</v>
      </c>
      <c r="O16" s="32">
        <v>12.01</v>
      </c>
      <c r="P16" s="33">
        <v>14.11</v>
      </c>
      <c r="Q16" s="40">
        <f t="shared" si="5"/>
        <v>182</v>
      </c>
    </row>
    <row r="17" spans="1:17" ht="32.25" thickBot="1">
      <c r="A17" s="13">
        <v>6</v>
      </c>
      <c r="B17" s="14" t="s">
        <v>5</v>
      </c>
      <c r="C17" s="53">
        <v>22.16</v>
      </c>
      <c r="D17" s="32">
        <v>2</v>
      </c>
      <c r="E17" s="32">
        <v>2</v>
      </c>
      <c r="F17" s="32">
        <v>2</v>
      </c>
      <c r="G17" s="32">
        <v>2</v>
      </c>
      <c r="H17" s="32">
        <v>2</v>
      </c>
      <c r="I17" s="32">
        <v>2</v>
      </c>
      <c r="J17" s="32">
        <v>0.16</v>
      </c>
      <c r="K17" s="32">
        <v>2</v>
      </c>
      <c r="L17" s="32">
        <v>2</v>
      </c>
      <c r="M17" s="32">
        <v>2</v>
      </c>
      <c r="N17" s="32">
        <v>2</v>
      </c>
      <c r="O17" s="32">
        <v>2</v>
      </c>
      <c r="P17" s="33"/>
      <c r="Q17" s="40">
        <f t="shared" si="5"/>
        <v>22.16</v>
      </c>
    </row>
    <row r="18" spans="1:17" ht="16.5" thickBot="1">
      <c r="A18" s="13">
        <v>7</v>
      </c>
      <c r="B18" s="14" t="s">
        <v>6</v>
      </c>
      <c r="C18" s="54">
        <v>12.16</v>
      </c>
      <c r="D18" s="32">
        <v>0.9</v>
      </c>
      <c r="E18" s="32">
        <v>0.6</v>
      </c>
      <c r="F18" s="32">
        <v>0.9</v>
      </c>
      <c r="G18" s="32">
        <v>0.6</v>
      </c>
      <c r="H18" s="32">
        <v>0.6</v>
      </c>
      <c r="I18" s="32">
        <v>0.9</v>
      </c>
      <c r="J18" s="32">
        <v>0.3</v>
      </c>
      <c r="K18" s="32">
        <v>0.6</v>
      </c>
      <c r="L18" s="32">
        <v>0.9</v>
      </c>
      <c r="M18" s="32">
        <v>0.3</v>
      </c>
      <c r="N18" s="32">
        <v>0.6</v>
      </c>
      <c r="O18" s="32">
        <v>0.3</v>
      </c>
      <c r="P18" s="33">
        <v>4.66</v>
      </c>
      <c r="Q18" s="40">
        <f t="shared" si="5"/>
        <v>12.16</v>
      </c>
    </row>
    <row r="19" spans="1:17" ht="16.5" thickBot="1">
      <c r="A19" s="13">
        <v>8</v>
      </c>
      <c r="B19" s="14" t="s">
        <v>7</v>
      </c>
      <c r="C19" s="54">
        <v>14.71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v>14.71</v>
      </c>
      <c r="Q19" s="40">
        <f t="shared" si="5"/>
        <v>14.71</v>
      </c>
    </row>
    <row r="20" spans="1:17" ht="16.5" thickBot="1">
      <c r="A20" s="13">
        <v>9</v>
      </c>
      <c r="B20" s="16" t="s">
        <v>8</v>
      </c>
      <c r="C20" s="54">
        <v>14.46</v>
      </c>
      <c r="D20" s="32">
        <v>0.7</v>
      </c>
      <c r="E20" s="32">
        <v>0.7</v>
      </c>
      <c r="F20" s="32">
        <v>0.7</v>
      </c>
      <c r="G20" s="32">
        <v>0.7</v>
      </c>
      <c r="H20" s="32">
        <v>0.7</v>
      </c>
      <c r="I20" s="32">
        <v>0.7</v>
      </c>
      <c r="J20" s="32">
        <v>0.7</v>
      </c>
      <c r="K20" s="32">
        <v>0.7</v>
      </c>
      <c r="L20" s="32">
        <v>0.7</v>
      </c>
      <c r="M20" s="32">
        <v>0.7</v>
      </c>
      <c r="N20" s="32">
        <v>0.7</v>
      </c>
      <c r="O20" s="32">
        <v>0.7</v>
      </c>
      <c r="P20" s="33">
        <v>6.06</v>
      </c>
      <c r="Q20" s="40">
        <f t="shared" si="5"/>
        <v>14.46</v>
      </c>
    </row>
    <row r="21" spans="1:17" ht="16.5" thickBot="1">
      <c r="A21" s="13">
        <v>10</v>
      </c>
      <c r="B21" s="14" t="s">
        <v>9</v>
      </c>
      <c r="C21" s="54">
        <v>33.44</v>
      </c>
      <c r="D21" s="40">
        <f>C21/12</f>
        <v>2.7866666666666666</v>
      </c>
      <c r="E21" s="40">
        <v>2.7866666666666666</v>
      </c>
      <c r="F21" s="40">
        <v>2.7866666666666666</v>
      </c>
      <c r="G21" s="40">
        <v>2.7866666666666666</v>
      </c>
      <c r="H21" s="40">
        <v>2.7866666666666666</v>
      </c>
      <c r="I21" s="40">
        <v>2.7866666666666666</v>
      </c>
      <c r="J21" s="40">
        <v>2.7866666666666666</v>
      </c>
      <c r="K21" s="40">
        <v>2.7866666666666666</v>
      </c>
      <c r="L21" s="40">
        <v>2.7866666666666666</v>
      </c>
      <c r="M21" s="40">
        <v>2.7866666666666666</v>
      </c>
      <c r="N21" s="40">
        <v>2.7866666666666666</v>
      </c>
      <c r="O21" s="40">
        <v>2.7866666666666666</v>
      </c>
      <c r="P21" s="40"/>
      <c r="Q21" s="40">
        <f t="shared" si="5"/>
        <v>33.439999999999991</v>
      </c>
    </row>
    <row r="22" spans="1:17" ht="16.5" thickBot="1">
      <c r="A22" s="13">
        <v>11</v>
      </c>
      <c r="B22" s="14" t="s">
        <v>10</v>
      </c>
      <c r="C22" s="54"/>
      <c r="D22" s="3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>
        <f t="shared" si="5"/>
        <v>0</v>
      </c>
    </row>
    <row r="23" spans="1:17" ht="16.5" thickBot="1">
      <c r="A23" s="13">
        <v>12</v>
      </c>
      <c r="B23" s="14" t="s">
        <v>11</v>
      </c>
      <c r="C23" s="54"/>
      <c r="D23" s="3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>
        <f t="shared" si="5"/>
        <v>0</v>
      </c>
    </row>
    <row r="24" spans="1:17" ht="16.5" thickBot="1">
      <c r="A24" s="13">
        <v>13</v>
      </c>
      <c r="B24" s="16" t="s">
        <v>12</v>
      </c>
      <c r="C24" s="54">
        <v>50</v>
      </c>
      <c r="D24" s="3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>
        <v>50</v>
      </c>
      <c r="Q24" s="40">
        <f t="shared" si="5"/>
        <v>50</v>
      </c>
    </row>
    <row r="25" spans="1:17" ht="16.5" thickBot="1">
      <c r="A25" s="13">
        <v>14</v>
      </c>
      <c r="B25" s="14" t="s">
        <v>13</v>
      </c>
      <c r="C25" s="54"/>
      <c r="D25" s="3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>
        <f t="shared" si="5"/>
        <v>0</v>
      </c>
    </row>
    <row r="26" spans="1:17" ht="16.5" thickBot="1">
      <c r="A26" s="13">
        <v>15</v>
      </c>
      <c r="B26" s="14" t="s">
        <v>14</v>
      </c>
      <c r="C26" s="54">
        <v>17.59</v>
      </c>
      <c r="D26" s="32">
        <f>C26/12</f>
        <v>1.4658333333333333</v>
      </c>
      <c r="E26" s="40">
        <v>1.4658333333333333</v>
      </c>
      <c r="F26" s="40">
        <v>1.4658333333333333</v>
      </c>
      <c r="G26" s="40">
        <v>1.4658333333333333</v>
      </c>
      <c r="H26" s="40">
        <v>1.4658333333333333</v>
      </c>
      <c r="I26" s="40">
        <v>1.4658333333333333</v>
      </c>
      <c r="J26" s="40">
        <v>1.4658333333333333</v>
      </c>
      <c r="K26" s="40">
        <v>1.4658333333333333</v>
      </c>
      <c r="L26" s="40">
        <v>1.4658333333333333</v>
      </c>
      <c r="M26" s="40">
        <v>1.4658333333333333</v>
      </c>
      <c r="N26" s="40">
        <v>1.4658333333333333</v>
      </c>
      <c r="O26" s="40">
        <v>1.4658333333333333</v>
      </c>
      <c r="P26" s="40"/>
      <c r="Q26" s="40">
        <f t="shared" si="5"/>
        <v>17.589999999999996</v>
      </c>
    </row>
    <row r="27" spans="1:17" ht="16.5" thickBot="1">
      <c r="A27" s="13">
        <v>16</v>
      </c>
      <c r="B27" s="14" t="s">
        <v>15</v>
      </c>
      <c r="C27" s="54"/>
      <c r="D27" s="3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33"/>
      <c r="Q27" s="40">
        <f t="shared" si="5"/>
        <v>0</v>
      </c>
    </row>
    <row r="28" spans="1:17" ht="16.5" thickBot="1">
      <c r="A28" s="13">
        <v>17</v>
      </c>
      <c r="B28" s="14" t="s">
        <v>16</v>
      </c>
      <c r="C28" s="54">
        <v>135.33000000000001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5">
        <v>135.33000000000001</v>
      </c>
      <c r="Q28" s="40">
        <f t="shared" si="5"/>
        <v>135.33000000000001</v>
      </c>
    </row>
    <row r="29" spans="1:17" ht="16.5" thickBot="1">
      <c r="A29" s="13">
        <v>18</v>
      </c>
      <c r="B29" s="14" t="s">
        <v>17</v>
      </c>
      <c r="C29" s="53">
        <v>132.76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15">
        <v>132.76</v>
      </c>
      <c r="Q29" s="40">
        <f t="shared" si="5"/>
        <v>132.76</v>
      </c>
    </row>
    <row r="30" spans="1:17" ht="16.5" thickBot="1">
      <c r="A30" s="10"/>
      <c r="B30" s="17" t="s">
        <v>165</v>
      </c>
      <c r="C30" s="52">
        <f>SUM(C31:C32)</f>
        <v>7.31</v>
      </c>
      <c r="D30" s="12">
        <f t="shared" ref="D30:P30" si="6">SUM(D31:D32)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2">
        <f t="shared" si="6"/>
        <v>0</v>
      </c>
      <c r="O30" s="12">
        <f t="shared" si="6"/>
        <v>0</v>
      </c>
      <c r="P30" s="12">
        <f t="shared" si="6"/>
        <v>7.31</v>
      </c>
      <c r="Q30" s="40">
        <f t="shared" si="5"/>
        <v>7.31</v>
      </c>
    </row>
    <row r="31" spans="1:17" ht="16.5" thickBot="1">
      <c r="A31" s="13">
        <v>19</v>
      </c>
      <c r="B31" s="16" t="s">
        <v>18</v>
      </c>
      <c r="C31" s="53">
        <v>7.31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>
        <v>7.31</v>
      </c>
      <c r="Q31" s="40">
        <f t="shared" si="5"/>
        <v>7.31</v>
      </c>
    </row>
    <row r="32" spans="1:17" ht="32.25" thickBot="1">
      <c r="A32" s="13">
        <v>20</v>
      </c>
      <c r="B32" s="16" t="s">
        <v>19</v>
      </c>
      <c r="C32" s="5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3"/>
      <c r="Q32" s="40">
        <f t="shared" si="5"/>
        <v>0</v>
      </c>
    </row>
    <row r="33" spans="1:17" ht="16.5" thickBot="1">
      <c r="A33" s="10"/>
      <c r="B33" s="11" t="s">
        <v>166</v>
      </c>
      <c r="C33" s="52">
        <f>SUM(C34:C44)</f>
        <v>473.31999999999994</v>
      </c>
      <c r="D33" s="12">
        <f t="shared" ref="D33:P33" si="7">SUM(D34:D44)</f>
        <v>32.302500000000002</v>
      </c>
      <c r="E33" s="12">
        <f t="shared" si="7"/>
        <v>14.946499999999999</v>
      </c>
      <c r="F33" s="12">
        <f t="shared" si="7"/>
        <v>33.6875</v>
      </c>
      <c r="G33" s="12">
        <f t="shared" si="7"/>
        <v>5.899</v>
      </c>
      <c r="H33" s="12">
        <f t="shared" si="7"/>
        <v>20.532999999999998</v>
      </c>
      <c r="I33" s="12">
        <f t="shared" si="7"/>
        <v>25.4755</v>
      </c>
      <c r="J33" s="12">
        <f t="shared" si="7"/>
        <v>4.4975000000000005</v>
      </c>
      <c r="K33" s="12">
        <f t="shared" si="7"/>
        <v>8.8305000000000007</v>
      </c>
      <c r="L33" s="12">
        <f t="shared" si="7"/>
        <v>11.225000000000001</v>
      </c>
      <c r="M33" s="12">
        <f t="shared" si="7"/>
        <v>10.441500000000001</v>
      </c>
      <c r="N33" s="12">
        <f t="shared" si="7"/>
        <v>11.527000000000001</v>
      </c>
      <c r="O33" s="12">
        <f t="shared" si="7"/>
        <v>10.185</v>
      </c>
      <c r="P33" s="12">
        <f t="shared" si="7"/>
        <v>283.78000000000003</v>
      </c>
      <c r="Q33" s="40">
        <f t="shared" si="5"/>
        <v>473.33050000000003</v>
      </c>
    </row>
    <row r="34" spans="1:17" ht="16.5" thickBot="1">
      <c r="A34" s="13">
        <v>21</v>
      </c>
      <c r="B34" s="14" t="s">
        <v>20</v>
      </c>
      <c r="C34" s="53">
        <v>116.25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>
        <v>116.25</v>
      </c>
      <c r="Q34" s="40">
        <f t="shared" si="5"/>
        <v>116.25</v>
      </c>
    </row>
    <row r="35" spans="1:17" ht="32.25" thickBot="1">
      <c r="A35" s="13">
        <v>22</v>
      </c>
      <c r="B35" s="14" t="s">
        <v>21</v>
      </c>
      <c r="C35" s="53">
        <v>56.35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>
        <v>56.35</v>
      </c>
      <c r="Q35" s="40">
        <f t="shared" si="5"/>
        <v>56.35</v>
      </c>
    </row>
    <row r="36" spans="1:17" ht="16.5" thickBot="1">
      <c r="A36" s="13">
        <v>23</v>
      </c>
      <c r="B36" s="16" t="s">
        <v>238</v>
      </c>
      <c r="C36" s="55">
        <v>87.76</v>
      </c>
      <c r="D36" s="32">
        <f>7.69+2.6925</f>
        <v>10.3825</v>
      </c>
      <c r="E36" s="32">
        <f>1.4975+3.925</f>
        <v>5.4224999999999994</v>
      </c>
      <c r="F36" s="32">
        <f>6.67+5.47+2.4075</f>
        <v>14.547500000000001</v>
      </c>
      <c r="G36" s="32">
        <v>1.0249999999999999</v>
      </c>
      <c r="H36" s="32">
        <v>5.0750000000000002</v>
      </c>
      <c r="I36" s="32">
        <f>3.9125+1.475</f>
        <v>5.3875000000000002</v>
      </c>
      <c r="J36" s="32">
        <v>1.1975</v>
      </c>
      <c r="K36" s="32">
        <v>1.9225000000000001</v>
      </c>
      <c r="L36" s="32">
        <v>3.3050000000000002</v>
      </c>
      <c r="M36" s="32">
        <v>2.7875000000000001</v>
      </c>
      <c r="N36" s="32">
        <v>3.3650000000000002</v>
      </c>
      <c r="O36" s="32">
        <v>2.855</v>
      </c>
      <c r="P36" s="33">
        <v>30.49</v>
      </c>
      <c r="Q36" s="40">
        <f t="shared" si="5"/>
        <v>87.762500000000003</v>
      </c>
    </row>
    <row r="37" spans="1:17" ht="16.5" thickBot="1">
      <c r="A37" s="13">
        <v>24</v>
      </c>
      <c r="B37" s="16" t="s">
        <v>22</v>
      </c>
      <c r="C37" s="53">
        <v>77.37</v>
      </c>
      <c r="D37" s="32">
        <f>1+0.4+1.6+0.8+1+5</f>
        <v>9.8000000000000007</v>
      </c>
      <c r="E37" s="32">
        <f>2+1.6+0.5</f>
        <v>4.0999999999999996</v>
      </c>
      <c r="F37" s="32">
        <f>2.1+0.8+0.5+1+5</f>
        <v>9.4</v>
      </c>
      <c r="G37" s="32">
        <f>0.55+0.8</f>
        <v>1.35</v>
      </c>
      <c r="H37" s="32">
        <f>1+0.65+0.8+0.5+1+5</f>
        <v>8.9499999999999993</v>
      </c>
      <c r="I37" s="32">
        <f>1+0.8+0.8+0.5+1+5</f>
        <v>9.1</v>
      </c>
      <c r="J37" s="32">
        <f>0.8</f>
        <v>0.8</v>
      </c>
      <c r="K37" s="32">
        <f>0.8+0.7+0.8</f>
        <v>2.2999999999999998</v>
      </c>
      <c r="L37" s="32">
        <f>0.8+0.8</f>
        <v>1.6</v>
      </c>
      <c r="M37" s="32">
        <f>0.8+0.75</f>
        <v>1.55</v>
      </c>
      <c r="N37" s="32">
        <f>0.45+0.8+0.8</f>
        <v>2.0499999999999998</v>
      </c>
      <c r="O37" s="32">
        <f>0.8+0.5</f>
        <v>1.3</v>
      </c>
      <c r="P37" s="33">
        <v>25.07</v>
      </c>
      <c r="Q37" s="40">
        <f t="shared" si="5"/>
        <v>77.36999999999999</v>
      </c>
    </row>
    <row r="38" spans="1:17" ht="16.5" thickBot="1">
      <c r="A38" s="13">
        <v>25</v>
      </c>
      <c r="B38" s="16" t="s">
        <v>23</v>
      </c>
      <c r="C38" s="53">
        <v>8.4</v>
      </c>
      <c r="D38" s="32">
        <f>0.57</f>
        <v>0.56999999999999995</v>
      </c>
      <c r="E38" s="32">
        <v>0.36199999999999999</v>
      </c>
      <c r="F38" s="32">
        <v>0.56999999999999995</v>
      </c>
      <c r="G38" s="32">
        <v>0.36199999999999999</v>
      </c>
      <c r="H38" s="32">
        <v>0.67400000000000004</v>
      </c>
      <c r="I38" s="32">
        <v>0.67400000000000004</v>
      </c>
      <c r="J38" s="32"/>
      <c r="K38" s="32">
        <v>0.46600000000000003</v>
      </c>
      <c r="L38" s="32">
        <v>0.56999999999999995</v>
      </c>
      <c r="M38" s="32">
        <v>0.88200000000000001</v>
      </c>
      <c r="N38" s="32">
        <v>0.56999999999999995</v>
      </c>
      <c r="O38" s="32">
        <v>0.67400000000000004</v>
      </c>
      <c r="P38" s="33">
        <v>2.0299999999999998</v>
      </c>
      <c r="Q38" s="40">
        <f t="shared" si="5"/>
        <v>8.4039999999999999</v>
      </c>
    </row>
    <row r="39" spans="1:17" ht="16.5" thickBot="1">
      <c r="A39" s="13">
        <v>26</v>
      </c>
      <c r="B39" s="16" t="s">
        <v>24</v>
      </c>
      <c r="C39" s="54">
        <v>43.46</v>
      </c>
      <c r="D39" s="32">
        <f>0.8+0.85</f>
        <v>1.65</v>
      </c>
      <c r="E39" s="32">
        <f>0.8+0.562</f>
        <v>1.3620000000000001</v>
      </c>
      <c r="F39" s="32">
        <f>0.8+1.17</f>
        <v>1.97</v>
      </c>
      <c r="G39" s="32">
        <f>0.8+0.562</f>
        <v>1.3620000000000001</v>
      </c>
      <c r="H39" s="32">
        <f>0.8+1.234</f>
        <v>2.0339999999999998</v>
      </c>
      <c r="I39" s="32">
        <f>0.8+1.234</f>
        <v>2.0339999999999998</v>
      </c>
      <c r="J39" s="32">
        <v>0.8</v>
      </c>
      <c r="K39" s="32">
        <f>0.8+0.722</f>
        <v>1.522</v>
      </c>
      <c r="L39" s="32">
        <f>0.8+1.81</f>
        <v>2.6100000000000003</v>
      </c>
      <c r="M39" s="32">
        <f>0.8+1.042</f>
        <v>1.8420000000000001</v>
      </c>
      <c r="N39" s="32">
        <f>0.8+1.042</f>
        <v>1.8420000000000001</v>
      </c>
      <c r="O39" s="32">
        <f>0.8+1.106</f>
        <v>1.9060000000000001</v>
      </c>
      <c r="P39" s="33">
        <v>22.53</v>
      </c>
      <c r="Q39" s="40">
        <f t="shared" si="5"/>
        <v>43.463999999999999</v>
      </c>
    </row>
    <row r="40" spans="1:17" ht="16.5" thickBot="1">
      <c r="A40" s="13">
        <v>27</v>
      </c>
      <c r="B40" s="16" t="s">
        <v>25</v>
      </c>
      <c r="C40" s="54">
        <v>8.27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>
        <v>8.27</v>
      </c>
      <c r="Q40" s="40">
        <f t="shared" si="5"/>
        <v>8.27</v>
      </c>
    </row>
    <row r="41" spans="1:17" ht="32.25" thickBot="1">
      <c r="A41" s="13">
        <v>28</v>
      </c>
      <c r="B41" s="14" t="s">
        <v>3</v>
      </c>
      <c r="C41" s="54">
        <v>7.5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>
        <v>7.5</v>
      </c>
      <c r="Q41" s="40">
        <f t="shared" si="5"/>
        <v>7.5</v>
      </c>
    </row>
    <row r="42" spans="1:17" ht="32.25" thickBot="1">
      <c r="A42" s="13">
        <v>29</v>
      </c>
      <c r="B42" s="14" t="s">
        <v>4</v>
      </c>
      <c r="C42" s="54">
        <v>25</v>
      </c>
      <c r="D42" s="32">
        <v>7</v>
      </c>
      <c r="E42" s="32">
        <v>1.7</v>
      </c>
      <c r="F42" s="32">
        <v>5</v>
      </c>
      <c r="G42" s="32">
        <v>0.5</v>
      </c>
      <c r="H42" s="32">
        <v>1.5</v>
      </c>
      <c r="I42" s="32">
        <v>3</v>
      </c>
      <c r="J42" s="32">
        <v>0.3</v>
      </c>
      <c r="K42" s="32">
        <v>0.8</v>
      </c>
      <c r="L42" s="32">
        <v>1.5</v>
      </c>
      <c r="M42" s="32">
        <v>0.7</v>
      </c>
      <c r="N42" s="32">
        <v>1.5</v>
      </c>
      <c r="O42" s="32">
        <v>1.5</v>
      </c>
      <c r="P42" s="33"/>
      <c r="Q42" s="40">
        <f t="shared" si="5"/>
        <v>25</v>
      </c>
    </row>
    <row r="43" spans="1:17" ht="16.5" thickBot="1">
      <c r="A43" s="13">
        <v>30</v>
      </c>
      <c r="B43" s="14" t="s">
        <v>26</v>
      </c>
      <c r="C43" s="54">
        <v>42.96</v>
      </c>
      <c r="D43" s="40">
        <v>2.9</v>
      </c>
      <c r="E43" s="40">
        <v>2</v>
      </c>
      <c r="F43" s="40">
        <v>2.2000000000000002</v>
      </c>
      <c r="G43" s="40">
        <v>1.3</v>
      </c>
      <c r="H43" s="40">
        <v>2.2999999999999998</v>
      </c>
      <c r="I43" s="40">
        <v>5.28</v>
      </c>
      <c r="J43" s="40">
        <v>1.4</v>
      </c>
      <c r="K43" s="40">
        <v>1.82</v>
      </c>
      <c r="L43" s="40">
        <v>1.64</v>
      </c>
      <c r="M43" s="40">
        <v>2.68</v>
      </c>
      <c r="N43" s="40">
        <v>2.2000000000000002</v>
      </c>
      <c r="O43" s="40">
        <v>1.95</v>
      </c>
      <c r="P43" s="41">
        <v>15.29</v>
      </c>
      <c r="Q43" s="40">
        <f t="shared" si="5"/>
        <v>42.959999999999994</v>
      </c>
    </row>
    <row r="44" spans="1:17" ht="21.75" customHeight="1" thickBot="1">
      <c r="A44" s="13">
        <v>31</v>
      </c>
      <c r="B44" s="14" t="s">
        <v>17</v>
      </c>
      <c r="C44" s="54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40">
        <f t="shared" si="5"/>
        <v>0</v>
      </c>
    </row>
    <row r="45" spans="1:17" ht="16.5" thickBot="1">
      <c r="A45" s="10"/>
      <c r="B45" s="11" t="s">
        <v>167</v>
      </c>
      <c r="C45" s="56">
        <f>SUM(C46:C48)</f>
        <v>504.44</v>
      </c>
      <c r="D45" s="12">
        <f t="shared" ref="D45:P45" si="8">SUM(D46:D48)</f>
        <v>33.034615384615385</v>
      </c>
      <c r="E45" s="12">
        <f t="shared" si="8"/>
        <v>32.956923076923076</v>
      </c>
      <c r="F45" s="12">
        <f t="shared" si="8"/>
        <v>32.956923076923076</v>
      </c>
      <c r="G45" s="12">
        <f t="shared" si="8"/>
        <v>32.956923076923076</v>
      </c>
      <c r="H45" s="12">
        <f t="shared" si="8"/>
        <v>32.956923076923076</v>
      </c>
      <c r="I45" s="12">
        <f t="shared" si="8"/>
        <v>32.956923076923076</v>
      </c>
      <c r="J45" s="12">
        <f t="shared" si="8"/>
        <v>32.956923076923076</v>
      </c>
      <c r="K45" s="12">
        <f t="shared" si="8"/>
        <v>32.956923076923076</v>
      </c>
      <c r="L45" s="12">
        <f t="shared" si="8"/>
        <v>32.956923076923076</v>
      </c>
      <c r="M45" s="12">
        <f t="shared" si="8"/>
        <v>32.956923076923076</v>
      </c>
      <c r="N45" s="12">
        <f t="shared" si="8"/>
        <v>32.956923076923076</v>
      </c>
      <c r="O45" s="12">
        <f t="shared" si="8"/>
        <v>32.956923076923076</v>
      </c>
      <c r="P45" s="12">
        <f t="shared" si="8"/>
        <v>108.88</v>
      </c>
      <c r="Q45" s="40">
        <f t="shared" si="5"/>
        <v>504.44076923076932</v>
      </c>
    </row>
    <row r="46" spans="1:17" ht="16.5" thickBot="1">
      <c r="A46" s="13">
        <v>32</v>
      </c>
      <c r="B46" s="16" t="s">
        <v>27</v>
      </c>
      <c r="C46" s="54">
        <v>386.89</v>
      </c>
      <c r="D46" s="32">
        <f>C46/13</f>
        <v>29.760769230769231</v>
      </c>
      <c r="E46" s="32">
        <v>29.683076923076921</v>
      </c>
      <c r="F46" s="32">
        <v>29.683076923076921</v>
      </c>
      <c r="G46" s="32">
        <v>29.683076923076921</v>
      </c>
      <c r="H46" s="32">
        <v>29.683076923076921</v>
      </c>
      <c r="I46" s="32">
        <v>29.683076923076921</v>
      </c>
      <c r="J46" s="32">
        <v>29.683076923076921</v>
      </c>
      <c r="K46" s="32">
        <v>29.683076923076921</v>
      </c>
      <c r="L46" s="32">
        <v>29.683076923076921</v>
      </c>
      <c r="M46" s="32">
        <v>29.683076923076921</v>
      </c>
      <c r="N46" s="32">
        <v>29.683076923076921</v>
      </c>
      <c r="O46" s="32">
        <v>29.683076923076921</v>
      </c>
      <c r="P46" s="42">
        <v>30.62</v>
      </c>
      <c r="Q46" s="40">
        <f t="shared" si="5"/>
        <v>386.89461538461529</v>
      </c>
    </row>
    <row r="47" spans="1:17" ht="16.5" thickBot="1">
      <c r="A47" s="13">
        <v>33</v>
      </c>
      <c r="B47" s="16" t="s">
        <v>28</v>
      </c>
      <c r="C47" s="54">
        <v>42.56</v>
      </c>
      <c r="D47" s="32">
        <f>C47/13</f>
        <v>3.2738461538461539</v>
      </c>
      <c r="E47" s="32">
        <v>3.2738461538461539</v>
      </c>
      <c r="F47" s="32">
        <v>3.2738461538461539</v>
      </c>
      <c r="G47" s="32">
        <v>3.2738461538461539</v>
      </c>
      <c r="H47" s="32">
        <v>3.2738461538461539</v>
      </c>
      <c r="I47" s="32">
        <v>3.2738461538461539</v>
      </c>
      <c r="J47" s="32">
        <v>3.2738461538461539</v>
      </c>
      <c r="K47" s="32">
        <v>3.2738461538461539</v>
      </c>
      <c r="L47" s="32">
        <v>3.2738461538461539</v>
      </c>
      <c r="M47" s="32">
        <v>3.2738461538461539</v>
      </c>
      <c r="N47" s="32">
        <v>3.2738461538461539</v>
      </c>
      <c r="O47" s="32">
        <v>3.2738461538461539</v>
      </c>
      <c r="P47" s="42">
        <v>3.27</v>
      </c>
      <c r="Q47" s="40">
        <f t="shared" si="5"/>
        <v>42.55615384615384</v>
      </c>
    </row>
    <row r="48" spans="1:17" ht="16.5" thickBot="1">
      <c r="A48" s="13">
        <v>34</v>
      </c>
      <c r="B48" s="16" t="s">
        <v>29</v>
      </c>
      <c r="C48" s="54">
        <v>74.989999999999995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>
        <v>74.989999999999995</v>
      </c>
      <c r="Q48" s="40">
        <f t="shared" si="5"/>
        <v>74.989999999999995</v>
      </c>
    </row>
    <row r="49" spans="1:17" ht="16.5" thickBot="1">
      <c r="A49" s="10"/>
      <c r="B49" s="11" t="s">
        <v>168</v>
      </c>
      <c r="C49" s="52">
        <f>SUM(C50:C56)</f>
        <v>143.6</v>
      </c>
      <c r="D49" s="52">
        <f t="shared" ref="D49:Q49" si="9">SUM(D50:D56)</f>
        <v>2.552</v>
      </c>
      <c r="E49" s="52">
        <f t="shared" si="9"/>
        <v>2.4420000000000002</v>
      </c>
      <c r="F49" s="52">
        <f t="shared" si="9"/>
        <v>2.552</v>
      </c>
      <c r="G49" s="52">
        <f t="shared" si="9"/>
        <v>2.4420000000000002</v>
      </c>
      <c r="H49" s="52">
        <f t="shared" si="9"/>
        <v>2.4420000000000002</v>
      </c>
      <c r="I49" s="52">
        <f t="shared" si="9"/>
        <v>2.5419999999999998</v>
      </c>
      <c r="J49" s="52">
        <f t="shared" si="9"/>
        <v>2.1420000000000003</v>
      </c>
      <c r="K49" s="52">
        <f t="shared" si="9"/>
        <v>2.4420000000000002</v>
      </c>
      <c r="L49" s="52">
        <f t="shared" si="9"/>
        <v>2.4420000000000002</v>
      </c>
      <c r="M49" s="52">
        <f t="shared" si="9"/>
        <v>2.4420000000000002</v>
      </c>
      <c r="N49" s="52">
        <f t="shared" si="9"/>
        <v>2.4420000000000002</v>
      </c>
      <c r="O49" s="52">
        <f t="shared" si="9"/>
        <v>2.5419999999999998</v>
      </c>
      <c r="P49" s="52">
        <f t="shared" si="9"/>
        <v>114.18</v>
      </c>
      <c r="Q49" s="52">
        <f t="shared" si="9"/>
        <v>143.60400000000001</v>
      </c>
    </row>
    <row r="50" spans="1:17" ht="16.5" thickBot="1">
      <c r="A50" s="13">
        <v>35</v>
      </c>
      <c r="B50" s="14" t="s">
        <v>30</v>
      </c>
      <c r="C50" s="53">
        <v>3.7</v>
      </c>
      <c r="D50" s="40">
        <v>0.4</v>
      </c>
      <c r="E50" s="40">
        <v>0.3</v>
      </c>
      <c r="F50" s="40">
        <v>0.4</v>
      </c>
      <c r="G50" s="40">
        <v>0.3</v>
      </c>
      <c r="H50" s="40">
        <v>0.3</v>
      </c>
      <c r="I50" s="40">
        <v>0.4</v>
      </c>
      <c r="J50" s="40"/>
      <c r="K50" s="40">
        <v>0.3</v>
      </c>
      <c r="L50" s="40">
        <v>0.3</v>
      </c>
      <c r="M50" s="40">
        <v>0.3</v>
      </c>
      <c r="N50" s="40">
        <v>0.3</v>
      </c>
      <c r="O50" s="40">
        <v>0.4</v>
      </c>
      <c r="P50" s="40"/>
      <c r="Q50" s="40">
        <f t="shared" si="5"/>
        <v>3.6999999999999993</v>
      </c>
    </row>
    <row r="51" spans="1:17" ht="16.5" thickBot="1">
      <c r="A51" s="13">
        <v>36</v>
      </c>
      <c r="B51" s="16" t="s">
        <v>31</v>
      </c>
      <c r="C51" s="54">
        <v>48.66</v>
      </c>
      <c r="D51" s="40">
        <v>0.65</v>
      </c>
      <c r="E51" s="40">
        <v>0.65</v>
      </c>
      <c r="F51" s="40">
        <v>0.65</v>
      </c>
      <c r="G51" s="40">
        <v>0.65</v>
      </c>
      <c r="H51" s="40">
        <v>0.65</v>
      </c>
      <c r="I51" s="40">
        <v>0.65</v>
      </c>
      <c r="J51" s="40">
        <v>0.65</v>
      </c>
      <c r="K51" s="40">
        <v>0.65</v>
      </c>
      <c r="L51" s="40">
        <v>0.65</v>
      </c>
      <c r="M51" s="40">
        <v>0.65</v>
      </c>
      <c r="N51" s="40">
        <v>0.65</v>
      </c>
      <c r="O51" s="40">
        <v>0.65</v>
      </c>
      <c r="P51" s="40">
        <v>40.86</v>
      </c>
      <c r="Q51" s="40">
        <f t="shared" si="5"/>
        <v>48.660000000000004</v>
      </c>
    </row>
    <row r="52" spans="1:17" ht="16.5" thickBot="1">
      <c r="A52" s="13">
        <v>37</v>
      </c>
      <c r="B52" s="16" t="s">
        <v>32</v>
      </c>
      <c r="C52" s="54">
        <v>55.28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55.28</v>
      </c>
      <c r="Q52" s="40">
        <f t="shared" si="5"/>
        <v>55.28</v>
      </c>
    </row>
    <row r="53" spans="1:17" ht="16.5" thickBot="1">
      <c r="A53" s="13">
        <v>38</v>
      </c>
      <c r="B53" s="14" t="s">
        <v>33</v>
      </c>
      <c r="C53" s="54">
        <v>17.43</v>
      </c>
      <c r="D53" s="40">
        <v>0.67600000000000005</v>
      </c>
      <c r="E53" s="40">
        <v>0.67600000000000005</v>
      </c>
      <c r="F53" s="40">
        <v>0.67600000000000005</v>
      </c>
      <c r="G53" s="40">
        <v>0.67600000000000005</v>
      </c>
      <c r="H53" s="40">
        <v>0.67600000000000005</v>
      </c>
      <c r="I53" s="40">
        <v>0.67600000000000005</v>
      </c>
      <c r="J53" s="40">
        <v>0.67600000000000005</v>
      </c>
      <c r="K53" s="40">
        <v>0.67600000000000005</v>
      </c>
      <c r="L53" s="40">
        <v>0.67600000000000005</v>
      </c>
      <c r="M53" s="40">
        <v>0.67600000000000005</v>
      </c>
      <c r="N53" s="40">
        <v>0.67600000000000005</v>
      </c>
      <c r="O53" s="40">
        <v>0.67600000000000005</v>
      </c>
      <c r="P53" s="40">
        <v>9.32</v>
      </c>
      <c r="Q53" s="40">
        <f t="shared" si="5"/>
        <v>17.432000000000002</v>
      </c>
    </row>
    <row r="54" spans="1:17" ht="32.25" thickBot="1">
      <c r="A54" s="13">
        <v>39</v>
      </c>
      <c r="B54" s="16" t="s">
        <v>34</v>
      </c>
      <c r="C54" s="54">
        <v>15.63</v>
      </c>
      <c r="D54" s="40">
        <v>0.57599999999999996</v>
      </c>
      <c r="E54" s="40">
        <v>0.57599999999999996</v>
      </c>
      <c r="F54" s="40">
        <v>0.57599999999999996</v>
      </c>
      <c r="G54" s="40">
        <v>0.57599999999999996</v>
      </c>
      <c r="H54" s="40">
        <v>0.57599999999999996</v>
      </c>
      <c r="I54" s="40">
        <v>0.57599999999999996</v>
      </c>
      <c r="J54" s="40">
        <v>0.57599999999999996</v>
      </c>
      <c r="K54" s="40">
        <v>0.57599999999999996</v>
      </c>
      <c r="L54" s="40">
        <v>0.57599999999999996</v>
      </c>
      <c r="M54" s="40">
        <v>0.57599999999999996</v>
      </c>
      <c r="N54" s="40">
        <v>0.57599999999999996</v>
      </c>
      <c r="O54" s="40">
        <v>0.57599999999999996</v>
      </c>
      <c r="P54" s="40">
        <v>8.7200000000000006</v>
      </c>
      <c r="Q54" s="40">
        <f t="shared" si="5"/>
        <v>15.631999999999998</v>
      </c>
    </row>
    <row r="55" spans="1:17" ht="16.5" thickBot="1">
      <c r="A55" s="13">
        <v>40</v>
      </c>
      <c r="B55" s="14" t="s">
        <v>35</v>
      </c>
      <c r="C55" s="57">
        <v>2.9</v>
      </c>
      <c r="D55" s="40">
        <v>0.25</v>
      </c>
      <c r="E55" s="40">
        <v>0.24</v>
      </c>
      <c r="F55" s="40">
        <v>0.25</v>
      </c>
      <c r="G55" s="40">
        <v>0.24</v>
      </c>
      <c r="H55" s="40">
        <v>0.24</v>
      </c>
      <c r="I55" s="40">
        <v>0.24</v>
      </c>
      <c r="J55" s="40">
        <v>0.24</v>
      </c>
      <c r="K55" s="40">
        <v>0.24</v>
      </c>
      <c r="L55" s="40">
        <v>0.24</v>
      </c>
      <c r="M55" s="40">
        <v>0.24</v>
      </c>
      <c r="N55" s="40">
        <v>0.24</v>
      </c>
      <c r="O55" s="40">
        <v>0.24</v>
      </c>
      <c r="P55" s="40"/>
      <c r="Q55" s="40">
        <f t="shared" si="5"/>
        <v>2.9000000000000004</v>
      </c>
    </row>
    <row r="56" spans="1:17" ht="18.75" customHeight="1" thickBot="1">
      <c r="A56" s="13">
        <v>41</v>
      </c>
      <c r="B56" s="14" t="s">
        <v>17</v>
      </c>
      <c r="C56" s="54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3"/>
      <c r="Q56" s="40">
        <f t="shared" si="5"/>
        <v>0</v>
      </c>
    </row>
    <row r="57" spans="1:17" ht="16.5" thickBot="1">
      <c r="A57" s="10"/>
      <c r="B57" s="11" t="s">
        <v>169</v>
      </c>
      <c r="C57" s="52">
        <f>SUM(C58:C67)</f>
        <v>587.76</v>
      </c>
      <c r="D57" s="12">
        <v>50.26</v>
      </c>
      <c r="E57" s="12">
        <v>24.96</v>
      </c>
      <c r="F57" s="12">
        <v>32.880000000000003</v>
      </c>
      <c r="G57" s="12">
        <v>20.72</v>
      </c>
      <c r="H57" s="12">
        <v>34.75</v>
      </c>
      <c r="I57" s="12">
        <v>29.3</v>
      </c>
      <c r="J57" s="12">
        <v>10.46</v>
      </c>
      <c r="K57" s="12">
        <v>24.39</v>
      </c>
      <c r="L57" s="12">
        <v>29.223669999999998</v>
      </c>
      <c r="M57" s="12">
        <v>29.64</v>
      </c>
      <c r="N57" s="12">
        <v>31.45</v>
      </c>
      <c r="O57" s="12">
        <v>27.66</v>
      </c>
      <c r="P57" s="12">
        <v>242.07</v>
      </c>
      <c r="Q57" s="40">
        <f t="shared" si="5"/>
        <v>587.76367000000005</v>
      </c>
    </row>
    <row r="58" spans="1:17" ht="16.5" thickBot="1">
      <c r="A58" s="13">
        <v>42</v>
      </c>
      <c r="B58" s="14" t="s">
        <v>36</v>
      </c>
      <c r="C58" s="54">
        <v>143.16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40">
        <f t="shared" si="5"/>
        <v>0</v>
      </c>
    </row>
    <row r="59" spans="1:17" ht="16.5" thickBot="1">
      <c r="A59" s="13">
        <v>43</v>
      </c>
      <c r="B59" s="14" t="s">
        <v>37</v>
      </c>
      <c r="C59" s="54">
        <v>1.96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40">
        <f t="shared" si="5"/>
        <v>0</v>
      </c>
    </row>
    <row r="60" spans="1:17" ht="16.5" thickBot="1">
      <c r="A60" s="13">
        <v>44</v>
      </c>
      <c r="B60" s="14" t="s">
        <v>38</v>
      </c>
      <c r="C60" s="54">
        <v>30.66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40">
        <f t="shared" si="5"/>
        <v>0</v>
      </c>
    </row>
    <row r="61" spans="1:17" ht="16.5" thickBot="1">
      <c r="A61" s="13">
        <v>45</v>
      </c>
      <c r="B61" s="14" t="s">
        <v>39</v>
      </c>
      <c r="C61" s="54">
        <v>9.26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Q61" s="40">
        <f t="shared" si="5"/>
        <v>0</v>
      </c>
    </row>
    <row r="62" spans="1:17" ht="16.5" thickBot="1">
      <c r="A62" s="13">
        <v>46</v>
      </c>
      <c r="B62" s="14" t="s">
        <v>40</v>
      </c>
      <c r="C62" s="54">
        <v>204.85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0">
        <f t="shared" si="5"/>
        <v>0</v>
      </c>
    </row>
    <row r="63" spans="1:17" ht="16.5" thickBot="1">
      <c r="A63" s="13">
        <v>47</v>
      </c>
      <c r="B63" s="14" t="s">
        <v>41</v>
      </c>
      <c r="C63" s="57">
        <v>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4"/>
      <c r="Q63" s="40">
        <f t="shared" si="5"/>
        <v>0</v>
      </c>
    </row>
    <row r="64" spans="1:17" ht="16.5" thickBot="1">
      <c r="A64" s="13">
        <v>48</v>
      </c>
      <c r="B64" s="14" t="s">
        <v>42</v>
      </c>
      <c r="C64" s="53">
        <v>39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  <c r="Q64" s="40">
        <f t="shared" si="5"/>
        <v>0</v>
      </c>
    </row>
    <row r="65" spans="1:17" ht="16.5" thickBot="1">
      <c r="A65" s="13">
        <v>49</v>
      </c>
      <c r="B65" s="14" t="s">
        <v>43</v>
      </c>
      <c r="C65" s="54">
        <v>67.959999999999994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40">
        <f t="shared" si="5"/>
        <v>0</v>
      </c>
    </row>
    <row r="66" spans="1:17" ht="16.5" thickBot="1">
      <c r="A66" s="13">
        <v>50</v>
      </c>
      <c r="B66" s="14" t="s">
        <v>44</v>
      </c>
      <c r="C66" s="54">
        <v>85.91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4"/>
      <c r="Q66" s="40">
        <f t="shared" si="5"/>
        <v>0</v>
      </c>
    </row>
    <row r="67" spans="1:17" ht="17.25" customHeight="1" thickBot="1">
      <c r="A67" s="13">
        <v>51</v>
      </c>
      <c r="B67" s="14" t="s">
        <v>17</v>
      </c>
      <c r="C67" s="54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/>
      <c r="Q67" s="40">
        <f t="shared" si="5"/>
        <v>0</v>
      </c>
    </row>
    <row r="68" spans="1:17" ht="16.5" thickBot="1">
      <c r="A68" s="10"/>
      <c r="B68" s="11" t="s">
        <v>170</v>
      </c>
      <c r="C68" s="52">
        <f>SUM(C69:C78)</f>
        <v>570.24</v>
      </c>
      <c r="D68" s="12">
        <f t="shared" ref="D68:P68" si="10">SUM(D69:D78)</f>
        <v>44.008205128205134</v>
      </c>
      <c r="E68" s="12">
        <f t="shared" si="10"/>
        <v>28.748910256410255</v>
      </c>
      <c r="F68" s="12">
        <f t="shared" si="10"/>
        <v>28.748910256410255</v>
      </c>
      <c r="G68" s="12">
        <f t="shared" si="10"/>
        <v>28.748910256410255</v>
      </c>
      <c r="H68" s="12">
        <f t="shared" si="10"/>
        <v>28.748910256410255</v>
      </c>
      <c r="I68" s="12">
        <f t="shared" si="10"/>
        <v>28.748910256410255</v>
      </c>
      <c r="J68" s="12">
        <f t="shared" si="10"/>
        <v>28.748910256410255</v>
      </c>
      <c r="K68" s="12">
        <f t="shared" si="10"/>
        <v>28.748910256410255</v>
      </c>
      <c r="L68" s="12">
        <f t="shared" si="10"/>
        <v>28.748910256410255</v>
      </c>
      <c r="M68" s="12">
        <f t="shared" si="10"/>
        <v>28.748910256410255</v>
      </c>
      <c r="N68" s="12">
        <f t="shared" si="10"/>
        <v>28.748910256410255</v>
      </c>
      <c r="O68" s="12">
        <f t="shared" si="10"/>
        <v>28.748910256410255</v>
      </c>
      <c r="P68" s="12">
        <f t="shared" si="10"/>
        <v>209.98999999999998</v>
      </c>
      <c r="Q68" s="40">
        <f t="shared" si="5"/>
        <v>570.23621794871792</v>
      </c>
    </row>
    <row r="69" spans="1:17" ht="16.5" thickBot="1">
      <c r="A69" s="13">
        <v>52</v>
      </c>
      <c r="B69" s="14" t="s">
        <v>45</v>
      </c>
      <c r="C69" s="54">
        <v>311.73</v>
      </c>
      <c r="D69" s="32">
        <f>C69/13</f>
        <v>23.979230769230771</v>
      </c>
      <c r="E69" s="32">
        <v>12.744615384615384</v>
      </c>
      <c r="F69" s="32">
        <v>12.744615384615384</v>
      </c>
      <c r="G69" s="40">
        <v>12.744615384615384</v>
      </c>
      <c r="H69" s="40">
        <v>12.744615384615384</v>
      </c>
      <c r="I69" s="40">
        <v>12.744615384615384</v>
      </c>
      <c r="J69" s="40">
        <v>12.744615384615384</v>
      </c>
      <c r="K69" s="40">
        <v>12.744615384615384</v>
      </c>
      <c r="L69" s="40">
        <v>12.744615384615384</v>
      </c>
      <c r="M69" s="40">
        <v>12.744615384615384</v>
      </c>
      <c r="N69" s="40">
        <v>12.744615384615384</v>
      </c>
      <c r="O69" s="40">
        <v>12.744615384615384</v>
      </c>
      <c r="P69" s="40">
        <v>147.56</v>
      </c>
      <c r="Q69" s="40">
        <f t="shared" si="5"/>
        <v>311.73</v>
      </c>
    </row>
    <row r="70" spans="1:17" ht="16.5" thickBot="1">
      <c r="A70" s="13">
        <v>53</v>
      </c>
      <c r="B70" s="14" t="s">
        <v>46</v>
      </c>
      <c r="C70" s="53">
        <v>121.57</v>
      </c>
      <c r="D70" s="32">
        <f>C70/13</f>
        <v>9.3515384615384605</v>
      </c>
      <c r="E70" s="32">
        <v>9.3515384615384605</v>
      </c>
      <c r="F70" s="32">
        <v>9.3515384615384605</v>
      </c>
      <c r="G70" s="40">
        <v>9.3515384615384605</v>
      </c>
      <c r="H70" s="40">
        <v>9.3515384615384605</v>
      </c>
      <c r="I70" s="40">
        <v>9.3515384615384605</v>
      </c>
      <c r="J70" s="40">
        <v>9.3515384615384605</v>
      </c>
      <c r="K70" s="40">
        <v>9.3515384615384605</v>
      </c>
      <c r="L70" s="40">
        <v>9.3515384615384605</v>
      </c>
      <c r="M70" s="40">
        <v>9.3515384615384605</v>
      </c>
      <c r="N70" s="40">
        <v>9.3515384615384605</v>
      </c>
      <c r="O70" s="40">
        <v>9.3515384615384605</v>
      </c>
      <c r="P70" s="40">
        <v>9.35</v>
      </c>
      <c r="Q70" s="40">
        <f t="shared" si="5"/>
        <v>121.56846153846155</v>
      </c>
    </row>
    <row r="71" spans="1:17" ht="16.5" thickBot="1">
      <c r="A71" s="13">
        <v>54</v>
      </c>
      <c r="B71" s="14" t="s">
        <v>47</v>
      </c>
      <c r="C71" s="57">
        <v>22.4</v>
      </c>
      <c r="D71" s="32">
        <f>C71/12</f>
        <v>1.8666666666666665</v>
      </c>
      <c r="E71" s="32">
        <v>0.79583333333333339</v>
      </c>
      <c r="F71" s="32">
        <v>0.79583333333333339</v>
      </c>
      <c r="G71" s="40">
        <v>0.79583333333333339</v>
      </c>
      <c r="H71" s="40">
        <v>0.79583333333333339</v>
      </c>
      <c r="I71" s="40">
        <v>0.79583333333333339</v>
      </c>
      <c r="J71" s="40">
        <v>0.79583333333333339</v>
      </c>
      <c r="K71" s="40">
        <v>0.79583333333333339</v>
      </c>
      <c r="L71" s="40">
        <v>0.79583333333333339</v>
      </c>
      <c r="M71" s="40">
        <v>0.79583333333333339</v>
      </c>
      <c r="N71" s="40">
        <v>0.79583333333333339</v>
      </c>
      <c r="O71" s="40">
        <v>0.79583333333333339</v>
      </c>
      <c r="P71" s="40">
        <v>11.78</v>
      </c>
      <c r="Q71" s="40">
        <f t="shared" si="5"/>
        <v>22.400833333333338</v>
      </c>
    </row>
    <row r="72" spans="1:17" ht="16.5" thickBot="1">
      <c r="A72" s="13">
        <v>55</v>
      </c>
      <c r="B72" s="14" t="s">
        <v>48</v>
      </c>
      <c r="C72" s="54"/>
      <c r="D72" s="32"/>
      <c r="E72" s="32"/>
      <c r="F72" s="32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>
        <f t="shared" si="5"/>
        <v>0</v>
      </c>
    </row>
    <row r="73" spans="1:17" ht="16.5" thickBot="1">
      <c r="A73" s="13">
        <v>56</v>
      </c>
      <c r="B73" s="14" t="s">
        <v>49</v>
      </c>
      <c r="C73" s="54">
        <v>55.06</v>
      </c>
      <c r="D73" s="32">
        <f>C73/13</f>
        <v>4.235384615384616</v>
      </c>
      <c r="E73" s="32">
        <v>1.2815384615384615</v>
      </c>
      <c r="F73" s="32">
        <v>1.2815384615384615</v>
      </c>
      <c r="G73" s="40">
        <v>1.2815384615384615</v>
      </c>
      <c r="H73" s="40">
        <v>1.2815384615384615</v>
      </c>
      <c r="I73" s="40">
        <v>1.2815384615384615</v>
      </c>
      <c r="J73" s="40">
        <v>1.2815384615384615</v>
      </c>
      <c r="K73" s="40">
        <v>1.2815384615384615</v>
      </c>
      <c r="L73" s="40">
        <v>1.2815384615384615</v>
      </c>
      <c r="M73" s="40">
        <v>1.2815384615384615</v>
      </c>
      <c r="N73" s="40">
        <v>1.2815384615384615</v>
      </c>
      <c r="O73" s="40">
        <v>1.2815384615384615</v>
      </c>
      <c r="P73" s="40">
        <v>36.729999999999997</v>
      </c>
      <c r="Q73" s="40">
        <f t="shared" si="5"/>
        <v>55.062307692307691</v>
      </c>
    </row>
    <row r="74" spans="1:17" ht="16.5" thickBot="1">
      <c r="A74" s="13">
        <v>57</v>
      </c>
      <c r="B74" s="14" t="s">
        <v>50</v>
      </c>
      <c r="C74" s="54"/>
      <c r="D74" s="32"/>
      <c r="E74" s="32"/>
      <c r="F74" s="32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>
        <f t="shared" si="5"/>
        <v>0</v>
      </c>
    </row>
    <row r="75" spans="1:17" ht="16.5" thickBot="1">
      <c r="A75" s="13">
        <v>58</v>
      </c>
      <c r="B75" s="16" t="s">
        <v>51</v>
      </c>
      <c r="C75" s="54">
        <v>47.48</v>
      </c>
      <c r="D75" s="32">
        <f>C75/13</f>
        <v>3.652307692307692</v>
      </c>
      <c r="E75" s="32">
        <v>3.652307692307692</v>
      </c>
      <c r="F75" s="32">
        <v>3.652307692307692</v>
      </c>
      <c r="G75" s="40">
        <v>3.652307692307692</v>
      </c>
      <c r="H75" s="40">
        <v>3.652307692307692</v>
      </c>
      <c r="I75" s="40">
        <v>3.652307692307692</v>
      </c>
      <c r="J75" s="40">
        <v>3.652307692307692</v>
      </c>
      <c r="K75" s="40">
        <v>3.652307692307692</v>
      </c>
      <c r="L75" s="40">
        <v>3.652307692307692</v>
      </c>
      <c r="M75" s="40">
        <v>3.652307692307692</v>
      </c>
      <c r="N75" s="40">
        <v>3.652307692307692</v>
      </c>
      <c r="O75" s="40">
        <v>3.652307692307692</v>
      </c>
      <c r="P75" s="40">
        <v>3.65</v>
      </c>
      <c r="Q75" s="40">
        <f t="shared" si="5"/>
        <v>47.477692307692308</v>
      </c>
    </row>
    <row r="76" spans="1:17" ht="16.5" thickBot="1">
      <c r="A76" s="13">
        <v>59</v>
      </c>
      <c r="B76" s="14" t="s">
        <v>52</v>
      </c>
      <c r="C76" s="54"/>
      <c r="D76" s="32"/>
      <c r="E76" s="32"/>
      <c r="F76" s="32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>
        <f t="shared" si="5"/>
        <v>0</v>
      </c>
    </row>
    <row r="77" spans="1:17" ht="16.5" thickBot="1">
      <c r="A77" s="13">
        <v>60</v>
      </c>
      <c r="B77" s="14" t="s">
        <v>53</v>
      </c>
      <c r="C77" s="57">
        <v>12</v>
      </c>
      <c r="D77" s="32">
        <f>C77/13</f>
        <v>0.92307692307692313</v>
      </c>
      <c r="E77" s="32">
        <v>0.92307692307692313</v>
      </c>
      <c r="F77" s="32">
        <v>0.92307692307692313</v>
      </c>
      <c r="G77" s="40">
        <v>0.92307692307692313</v>
      </c>
      <c r="H77" s="40">
        <v>0.92307692307692313</v>
      </c>
      <c r="I77" s="40">
        <v>0.92307692307692313</v>
      </c>
      <c r="J77" s="40">
        <v>0.92307692307692313</v>
      </c>
      <c r="K77" s="40">
        <v>0.92307692307692313</v>
      </c>
      <c r="L77" s="40">
        <v>0.92307692307692313</v>
      </c>
      <c r="M77" s="40">
        <v>0.92307692307692313</v>
      </c>
      <c r="N77" s="40">
        <v>0.92307692307692313</v>
      </c>
      <c r="O77" s="40">
        <v>0.92307692307692313</v>
      </c>
      <c r="P77" s="40">
        <v>0.92</v>
      </c>
      <c r="Q77" s="40">
        <f t="shared" ref="Q77:Q140" si="11">SUM(D77:P77)</f>
        <v>11.996923076923078</v>
      </c>
    </row>
    <row r="78" spans="1:17" ht="21" customHeight="1" thickBot="1">
      <c r="A78" s="13">
        <v>61</v>
      </c>
      <c r="B78" s="14" t="s">
        <v>17</v>
      </c>
      <c r="C78" s="54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40">
        <f t="shared" si="11"/>
        <v>0</v>
      </c>
    </row>
    <row r="79" spans="1:17" ht="54.75" customHeight="1" thickBot="1">
      <c r="A79" s="10">
        <v>62</v>
      </c>
      <c r="B79" s="17" t="s">
        <v>171</v>
      </c>
      <c r="C79" s="52">
        <v>9.5500000000000007</v>
      </c>
      <c r="D79" s="32">
        <f>0.5</f>
        <v>0.5</v>
      </c>
      <c r="E79" s="40">
        <f t="shared" ref="E79:O79" si="12">0.5</f>
        <v>0.5</v>
      </c>
      <c r="F79" s="40">
        <f t="shared" si="12"/>
        <v>0.5</v>
      </c>
      <c r="G79" s="40">
        <f t="shared" si="12"/>
        <v>0.5</v>
      </c>
      <c r="H79" s="40">
        <f t="shared" si="12"/>
        <v>0.5</v>
      </c>
      <c r="I79" s="40">
        <f t="shared" si="12"/>
        <v>0.5</v>
      </c>
      <c r="J79" s="40">
        <f t="shared" si="12"/>
        <v>0.5</v>
      </c>
      <c r="K79" s="40">
        <f t="shared" si="12"/>
        <v>0.5</v>
      </c>
      <c r="L79" s="40">
        <f t="shared" si="12"/>
        <v>0.5</v>
      </c>
      <c r="M79" s="40">
        <f t="shared" si="12"/>
        <v>0.5</v>
      </c>
      <c r="N79" s="40">
        <f t="shared" si="12"/>
        <v>0.5</v>
      </c>
      <c r="O79" s="40">
        <f t="shared" si="12"/>
        <v>0.5</v>
      </c>
      <c r="P79" s="33">
        <v>3.55</v>
      </c>
      <c r="Q79" s="40">
        <f t="shared" si="11"/>
        <v>9.5500000000000007</v>
      </c>
    </row>
    <row r="80" spans="1:17" ht="16.5" thickBot="1">
      <c r="A80" s="18" t="s">
        <v>218</v>
      </c>
      <c r="B80" s="19" t="s">
        <v>193</v>
      </c>
      <c r="C80" s="58">
        <f>C81+C82+C88+C93+C106+C111+C112+C113</f>
        <v>3050.19</v>
      </c>
      <c r="D80" s="9">
        <f t="shared" ref="D80:P80" si="13">D81+D82+D88+D93+D106+D111+D112+D113</f>
        <v>212.19846153846154</v>
      </c>
      <c r="E80" s="9">
        <f t="shared" si="13"/>
        <v>180.70000000000002</v>
      </c>
      <c r="F80" s="9">
        <f t="shared" si="13"/>
        <v>192.6</v>
      </c>
      <c r="G80" s="9">
        <f t="shared" si="13"/>
        <v>180.70000000000002</v>
      </c>
      <c r="H80" s="9">
        <f t="shared" si="13"/>
        <v>189.13</v>
      </c>
      <c r="I80" s="9">
        <f t="shared" si="13"/>
        <v>189.13</v>
      </c>
      <c r="J80" s="9">
        <f t="shared" si="13"/>
        <v>180.74</v>
      </c>
      <c r="K80" s="9">
        <f t="shared" si="13"/>
        <v>180.74</v>
      </c>
      <c r="L80" s="9">
        <f t="shared" si="13"/>
        <v>180.78</v>
      </c>
      <c r="M80" s="9">
        <f t="shared" si="13"/>
        <v>180.86</v>
      </c>
      <c r="N80" s="9">
        <f t="shared" si="13"/>
        <v>180.78</v>
      </c>
      <c r="O80" s="9">
        <f t="shared" si="13"/>
        <v>180.82</v>
      </c>
      <c r="P80" s="9">
        <f t="shared" si="13"/>
        <v>821.0138461538462</v>
      </c>
      <c r="Q80" s="40">
        <f t="shared" si="11"/>
        <v>3050.1923076923081</v>
      </c>
    </row>
    <row r="81" spans="1:17" ht="32.25" thickBot="1">
      <c r="A81" s="10">
        <v>63</v>
      </c>
      <c r="B81" s="11" t="s">
        <v>172</v>
      </c>
      <c r="C81" s="59">
        <v>108.08</v>
      </c>
      <c r="D81" s="32">
        <f>C81/13</f>
        <v>8.3138461538461534</v>
      </c>
      <c r="E81" s="32">
        <v>8.3138461538461534</v>
      </c>
      <c r="F81" s="32">
        <v>8.3138461538461534</v>
      </c>
      <c r="G81" s="32">
        <v>8.3138461538461534</v>
      </c>
      <c r="H81" s="32">
        <v>8.3138461538461534</v>
      </c>
      <c r="I81" s="32">
        <v>8.3138461538461534</v>
      </c>
      <c r="J81" s="32">
        <v>8.3138461538461534</v>
      </c>
      <c r="K81" s="32">
        <v>8.3138461538461534</v>
      </c>
      <c r="L81" s="32">
        <v>8.3138461538461534</v>
      </c>
      <c r="M81" s="32">
        <v>8.3138461538461534</v>
      </c>
      <c r="N81" s="32">
        <v>8.3138461538461534</v>
      </c>
      <c r="O81" s="32">
        <v>8.3138461538461534</v>
      </c>
      <c r="P81" s="33">
        <v>8.3138461538461534</v>
      </c>
      <c r="Q81" s="40">
        <f t="shared" si="11"/>
        <v>108.08000000000003</v>
      </c>
    </row>
    <row r="82" spans="1:17" ht="32.25" thickBot="1">
      <c r="A82" s="10"/>
      <c r="B82" s="11" t="s">
        <v>173</v>
      </c>
      <c r="C82" s="52">
        <f>SUM(C83:C87)</f>
        <v>441.40000000000003</v>
      </c>
      <c r="D82" s="12">
        <f t="shared" ref="D82:P82" si="14">SUM(D83:D87)</f>
        <v>39.036923076923081</v>
      </c>
      <c r="E82" s="12">
        <f t="shared" si="14"/>
        <v>30.78</v>
      </c>
      <c r="F82" s="12">
        <f t="shared" si="14"/>
        <v>39.040000000000006</v>
      </c>
      <c r="G82" s="12">
        <f t="shared" si="14"/>
        <v>30.78</v>
      </c>
      <c r="H82" s="12">
        <f t="shared" si="14"/>
        <v>39.040000000000006</v>
      </c>
      <c r="I82" s="12">
        <f t="shared" si="14"/>
        <v>39.040000000000006</v>
      </c>
      <c r="J82" s="12">
        <f t="shared" si="14"/>
        <v>30.78</v>
      </c>
      <c r="K82" s="12">
        <f t="shared" si="14"/>
        <v>30.78</v>
      </c>
      <c r="L82" s="12">
        <f t="shared" si="14"/>
        <v>30.78</v>
      </c>
      <c r="M82" s="12">
        <f t="shared" si="14"/>
        <v>30.78</v>
      </c>
      <c r="N82" s="12">
        <f t="shared" si="14"/>
        <v>30.78</v>
      </c>
      <c r="O82" s="12">
        <f t="shared" si="14"/>
        <v>30.78</v>
      </c>
      <c r="P82" s="12">
        <f t="shared" si="14"/>
        <v>39</v>
      </c>
      <c r="Q82" s="40">
        <f t="shared" si="11"/>
        <v>441.39692307692303</v>
      </c>
    </row>
    <row r="83" spans="1:17" ht="16.5" thickBot="1">
      <c r="A83" s="13">
        <v>64</v>
      </c>
      <c r="B83" s="16" t="s">
        <v>54</v>
      </c>
      <c r="C83" s="53">
        <v>400.1</v>
      </c>
      <c r="D83" s="32">
        <f>C83/13</f>
        <v>30.776923076923079</v>
      </c>
      <c r="E83" s="40">
        <v>30.78</v>
      </c>
      <c r="F83" s="32">
        <v>30.78</v>
      </c>
      <c r="G83" s="40">
        <v>30.78</v>
      </c>
      <c r="H83" s="40">
        <v>30.78</v>
      </c>
      <c r="I83" s="40">
        <v>30.78</v>
      </c>
      <c r="J83" s="40">
        <v>30.78</v>
      </c>
      <c r="K83" s="40">
        <v>30.78</v>
      </c>
      <c r="L83" s="40">
        <v>30.78</v>
      </c>
      <c r="M83" s="40">
        <v>30.78</v>
      </c>
      <c r="N83" s="40">
        <v>30.78</v>
      </c>
      <c r="O83" s="40">
        <v>30.78</v>
      </c>
      <c r="P83" s="40">
        <v>30.74</v>
      </c>
      <c r="Q83" s="40">
        <f t="shared" si="11"/>
        <v>400.09692307692308</v>
      </c>
    </row>
    <row r="84" spans="1:17" ht="16.5" thickBot="1">
      <c r="A84" s="13">
        <v>65</v>
      </c>
      <c r="B84" s="16" t="s">
        <v>55</v>
      </c>
      <c r="C84" s="54"/>
      <c r="D84" s="32"/>
      <c r="E84" s="32"/>
      <c r="F84" s="32"/>
      <c r="G84" s="32"/>
      <c r="H84" s="40"/>
      <c r="I84" s="40"/>
      <c r="J84" s="32"/>
      <c r="K84" s="32"/>
      <c r="L84" s="32"/>
      <c r="M84" s="32"/>
      <c r="N84" s="32"/>
      <c r="O84" s="32"/>
      <c r="P84" s="40"/>
      <c r="Q84" s="40">
        <f t="shared" si="11"/>
        <v>0</v>
      </c>
    </row>
    <row r="85" spans="1:17" ht="16.5" thickBot="1">
      <c r="A85" s="13">
        <v>66</v>
      </c>
      <c r="B85" s="16" t="s">
        <v>56</v>
      </c>
      <c r="C85" s="57">
        <v>10.1</v>
      </c>
      <c r="D85" s="32">
        <f>C85/5</f>
        <v>2.02</v>
      </c>
      <c r="E85" s="32"/>
      <c r="F85" s="32">
        <v>2.02</v>
      </c>
      <c r="G85" s="32"/>
      <c r="H85" s="40">
        <v>2.02</v>
      </c>
      <c r="I85" s="40">
        <v>2.02</v>
      </c>
      <c r="J85" s="32"/>
      <c r="K85" s="32"/>
      <c r="L85" s="32"/>
      <c r="M85" s="32"/>
      <c r="N85" s="32"/>
      <c r="O85" s="32"/>
      <c r="P85" s="40">
        <v>2.02</v>
      </c>
      <c r="Q85" s="40">
        <f t="shared" si="11"/>
        <v>10.1</v>
      </c>
    </row>
    <row r="86" spans="1:17" ht="16.5" thickBot="1">
      <c r="A86" s="13">
        <v>67</v>
      </c>
      <c r="B86" s="16" t="s">
        <v>57</v>
      </c>
      <c r="C86" s="57">
        <v>31.2</v>
      </c>
      <c r="D86" s="40">
        <f>C86/5</f>
        <v>6.24</v>
      </c>
      <c r="E86" s="32"/>
      <c r="F86" s="32">
        <v>6.24</v>
      </c>
      <c r="G86" s="32"/>
      <c r="H86" s="40">
        <v>6.24</v>
      </c>
      <c r="I86" s="40">
        <v>6.24</v>
      </c>
      <c r="J86" s="32"/>
      <c r="K86" s="32"/>
      <c r="L86" s="32"/>
      <c r="M86" s="32"/>
      <c r="N86" s="32"/>
      <c r="O86" s="32"/>
      <c r="P86" s="40">
        <v>6.24</v>
      </c>
      <c r="Q86" s="40">
        <f t="shared" si="11"/>
        <v>31.200000000000003</v>
      </c>
    </row>
    <row r="87" spans="1:17" ht="16.5" thickBot="1">
      <c r="A87" s="13">
        <v>68</v>
      </c>
      <c r="B87" s="16" t="s">
        <v>58</v>
      </c>
      <c r="C87" s="54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3"/>
      <c r="Q87" s="40">
        <f t="shared" si="11"/>
        <v>0</v>
      </c>
    </row>
    <row r="88" spans="1:17" ht="48" customHeight="1" thickBot="1">
      <c r="A88" s="10"/>
      <c r="B88" s="17" t="s">
        <v>174</v>
      </c>
      <c r="C88" s="56">
        <f>SUM(C89:C92)</f>
        <v>59.51</v>
      </c>
      <c r="D88" s="12">
        <f t="shared" ref="D88:P88" si="15">SUM(D89:D92)</f>
        <v>1.5715384615384616</v>
      </c>
      <c r="E88" s="12">
        <f t="shared" si="15"/>
        <v>1.5715384615384616</v>
      </c>
      <c r="F88" s="12">
        <f t="shared" si="15"/>
        <v>1.5715384615384616</v>
      </c>
      <c r="G88" s="12">
        <f t="shared" si="15"/>
        <v>1.5715384615384616</v>
      </c>
      <c r="H88" s="12">
        <f t="shared" si="15"/>
        <v>1.5715384615384616</v>
      </c>
      <c r="I88" s="12">
        <f t="shared" si="15"/>
        <v>1.5715384615384616</v>
      </c>
      <c r="J88" s="12">
        <f t="shared" si="15"/>
        <v>1.5715384615384616</v>
      </c>
      <c r="K88" s="12">
        <f t="shared" si="15"/>
        <v>1.5715384615384616</v>
      </c>
      <c r="L88" s="12">
        <f t="shared" si="15"/>
        <v>1.5715384615384616</v>
      </c>
      <c r="M88" s="12">
        <f t="shared" si="15"/>
        <v>1.5715384615384616</v>
      </c>
      <c r="N88" s="12">
        <f t="shared" si="15"/>
        <v>1.5715384615384616</v>
      </c>
      <c r="O88" s="12">
        <f t="shared" si="15"/>
        <v>1.5715384615384616</v>
      </c>
      <c r="P88" s="12">
        <f t="shared" si="15"/>
        <v>40.65</v>
      </c>
      <c r="Q88" s="40">
        <f t="shared" si="11"/>
        <v>59.508461538461532</v>
      </c>
    </row>
    <row r="89" spans="1:17" ht="16.5" thickBot="1">
      <c r="A89" s="13">
        <v>69</v>
      </c>
      <c r="B89" s="16" t="s">
        <v>223</v>
      </c>
      <c r="C89" s="54">
        <v>20.43</v>
      </c>
      <c r="D89" s="32">
        <f>C89/13</f>
        <v>1.5715384615384616</v>
      </c>
      <c r="E89" s="32">
        <v>1.5715384615384616</v>
      </c>
      <c r="F89" s="32">
        <v>1.5715384615384616</v>
      </c>
      <c r="G89" s="32">
        <v>1.5715384615384616</v>
      </c>
      <c r="H89" s="32">
        <v>1.5715384615384616</v>
      </c>
      <c r="I89" s="32">
        <v>1.5715384615384616</v>
      </c>
      <c r="J89" s="32">
        <v>1.5715384615384616</v>
      </c>
      <c r="K89" s="32">
        <v>1.5715384615384616</v>
      </c>
      <c r="L89" s="32">
        <v>1.5715384615384616</v>
      </c>
      <c r="M89" s="32">
        <v>1.5715384615384616</v>
      </c>
      <c r="N89" s="32">
        <v>1.5715384615384616</v>
      </c>
      <c r="O89" s="32">
        <v>1.5715384615384616</v>
      </c>
      <c r="P89" s="33">
        <v>1.57</v>
      </c>
      <c r="Q89" s="40">
        <f t="shared" si="11"/>
        <v>20.428461538461537</v>
      </c>
    </row>
    <row r="90" spans="1:17" ht="21.75" customHeight="1" thickBot="1">
      <c r="A90" s="13">
        <v>70</v>
      </c>
      <c r="B90" s="16" t="s">
        <v>224</v>
      </c>
      <c r="C90" s="54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3"/>
      <c r="Q90" s="40">
        <f t="shared" si="11"/>
        <v>0</v>
      </c>
    </row>
    <row r="91" spans="1:17" ht="16.5" thickBot="1">
      <c r="A91" s="13">
        <v>71</v>
      </c>
      <c r="B91" s="16" t="s">
        <v>59</v>
      </c>
      <c r="C91" s="54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3"/>
      <c r="Q91" s="40">
        <f t="shared" si="11"/>
        <v>0</v>
      </c>
    </row>
    <row r="92" spans="1:17" ht="16.5" thickBot="1">
      <c r="A92" s="13">
        <v>72</v>
      </c>
      <c r="B92" s="16" t="s">
        <v>60</v>
      </c>
      <c r="C92" s="54">
        <v>39.08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3">
        <v>39.08</v>
      </c>
      <c r="Q92" s="40">
        <f t="shared" si="11"/>
        <v>39.08</v>
      </c>
    </row>
    <row r="93" spans="1:17" ht="32.25" thickBot="1">
      <c r="A93" s="10"/>
      <c r="B93" s="17" t="s">
        <v>175</v>
      </c>
      <c r="C93" s="52">
        <f>SUM(C94:C105)</f>
        <v>2106.34</v>
      </c>
      <c r="D93" s="12">
        <f t="shared" ref="D93:P93" si="16">SUM(D94:D105)</f>
        <v>162.02615384615385</v>
      </c>
      <c r="E93" s="12">
        <f t="shared" si="16"/>
        <v>138.92461538461538</v>
      </c>
      <c r="F93" s="12">
        <f t="shared" si="16"/>
        <v>138.92461538461538</v>
      </c>
      <c r="G93" s="12">
        <f t="shared" si="16"/>
        <v>138.92461538461538</v>
      </c>
      <c r="H93" s="12">
        <f t="shared" si="16"/>
        <v>138.92461538461538</v>
      </c>
      <c r="I93" s="12">
        <f t="shared" si="16"/>
        <v>138.92461538461538</v>
      </c>
      <c r="J93" s="12">
        <f t="shared" si="16"/>
        <v>138.92461538461538</v>
      </c>
      <c r="K93" s="12">
        <f t="shared" si="16"/>
        <v>138.92461538461538</v>
      </c>
      <c r="L93" s="12">
        <f t="shared" si="16"/>
        <v>138.92461538461538</v>
      </c>
      <c r="M93" s="12">
        <f t="shared" si="16"/>
        <v>138.92461538461538</v>
      </c>
      <c r="N93" s="12">
        <f t="shared" si="16"/>
        <v>138.92461538461538</v>
      </c>
      <c r="O93" s="12">
        <f t="shared" si="16"/>
        <v>138.92461538461538</v>
      </c>
      <c r="P93" s="12">
        <f t="shared" si="16"/>
        <v>416.15000000000003</v>
      </c>
      <c r="Q93" s="40">
        <f t="shared" si="11"/>
        <v>2106.3469230769233</v>
      </c>
    </row>
    <row r="94" spans="1:17" ht="16.5" thickBot="1">
      <c r="A94" s="13">
        <v>73.099999999999994</v>
      </c>
      <c r="B94" s="16" t="s">
        <v>61</v>
      </c>
      <c r="C94" s="55">
        <v>552.73</v>
      </c>
      <c r="D94" s="32">
        <f>C94/13</f>
        <v>42.517692307692307</v>
      </c>
      <c r="E94" s="32">
        <v>40.49307692307692</v>
      </c>
      <c r="F94" s="40">
        <v>40.49307692307692</v>
      </c>
      <c r="G94" s="40">
        <v>40.49307692307692</v>
      </c>
      <c r="H94" s="40">
        <v>40.49307692307692</v>
      </c>
      <c r="I94" s="40">
        <v>40.49307692307692</v>
      </c>
      <c r="J94" s="40">
        <v>40.49307692307692</v>
      </c>
      <c r="K94" s="40">
        <v>40.49307692307692</v>
      </c>
      <c r="L94" s="40">
        <v>40.49307692307692</v>
      </c>
      <c r="M94" s="40">
        <v>40.49307692307692</v>
      </c>
      <c r="N94" s="40">
        <v>40.49307692307692</v>
      </c>
      <c r="O94" s="40">
        <v>40.49307692307692</v>
      </c>
      <c r="P94" s="40">
        <v>64.790000000000006</v>
      </c>
      <c r="Q94" s="40">
        <f t="shared" si="11"/>
        <v>552.73153846153832</v>
      </c>
    </row>
    <row r="95" spans="1:17" ht="16.5" thickBot="1">
      <c r="A95" s="13">
        <v>73.2</v>
      </c>
      <c r="B95" s="16" t="s">
        <v>214</v>
      </c>
      <c r="C95" s="54"/>
      <c r="D95" s="40">
        <f t="shared" ref="D95:D104" si="17">C95/13</f>
        <v>0</v>
      </c>
      <c r="E95" s="32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f t="shared" si="11"/>
        <v>0</v>
      </c>
    </row>
    <row r="96" spans="1:17" ht="16.5" thickBot="1">
      <c r="A96" s="13">
        <v>73.3</v>
      </c>
      <c r="B96" s="16" t="s">
        <v>215</v>
      </c>
      <c r="C96" s="54"/>
      <c r="D96" s="40">
        <f t="shared" si="17"/>
        <v>0</v>
      </c>
      <c r="E96" s="32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f t="shared" si="11"/>
        <v>0</v>
      </c>
    </row>
    <row r="97" spans="1:17" ht="16.5" thickBot="1">
      <c r="A97" s="13">
        <v>73.400000000000006</v>
      </c>
      <c r="B97" s="16" t="s">
        <v>216</v>
      </c>
      <c r="C97" s="54"/>
      <c r="D97" s="40">
        <f t="shared" si="17"/>
        <v>0</v>
      </c>
      <c r="E97" s="32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f t="shared" si="11"/>
        <v>0</v>
      </c>
    </row>
    <row r="98" spans="1:17" ht="16.5" thickBot="1">
      <c r="A98" s="13">
        <v>74</v>
      </c>
      <c r="B98" s="16" t="s">
        <v>62</v>
      </c>
      <c r="C98" s="54">
        <v>166.95</v>
      </c>
      <c r="D98" s="40">
        <f t="shared" si="17"/>
        <v>12.842307692307692</v>
      </c>
      <c r="E98" s="32">
        <v>12.23076923076923</v>
      </c>
      <c r="F98" s="40">
        <v>12.23076923076923</v>
      </c>
      <c r="G98" s="40">
        <v>12.23076923076923</v>
      </c>
      <c r="H98" s="40">
        <v>12.23076923076923</v>
      </c>
      <c r="I98" s="40">
        <v>12.23076923076923</v>
      </c>
      <c r="J98" s="40">
        <v>12.23076923076923</v>
      </c>
      <c r="K98" s="40">
        <v>12.23076923076923</v>
      </c>
      <c r="L98" s="40">
        <v>12.23076923076923</v>
      </c>
      <c r="M98" s="40">
        <v>12.23076923076923</v>
      </c>
      <c r="N98" s="40">
        <v>12.23076923076923</v>
      </c>
      <c r="O98" s="40">
        <v>12.23076923076923</v>
      </c>
      <c r="P98" s="40">
        <v>19.57</v>
      </c>
      <c r="Q98" s="40">
        <f t="shared" si="11"/>
        <v>166.9507692307692</v>
      </c>
    </row>
    <row r="99" spans="1:17" ht="16.5" thickBot="1">
      <c r="A99" s="13">
        <v>75.099999999999994</v>
      </c>
      <c r="B99" s="16" t="s">
        <v>63</v>
      </c>
      <c r="C99" s="54">
        <v>95.24</v>
      </c>
      <c r="D99" s="40">
        <f t="shared" si="17"/>
        <v>7.3261538461538454</v>
      </c>
      <c r="E99" s="32">
        <v>6.976923076923077</v>
      </c>
      <c r="F99" s="40">
        <v>6.976923076923077</v>
      </c>
      <c r="G99" s="40">
        <v>6.976923076923077</v>
      </c>
      <c r="H99" s="40">
        <v>6.976923076923077</v>
      </c>
      <c r="I99" s="40">
        <v>6.976923076923077</v>
      </c>
      <c r="J99" s="40">
        <v>6.976923076923077</v>
      </c>
      <c r="K99" s="40">
        <v>6.976923076923077</v>
      </c>
      <c r="L99" s="40">
        <v>6.976923076923077</v>
      </c>
      <c r="M99" s="40">
        <v>6.976923076923077</v>
      </c>
      <c r="N99" s="40">
        <v>6.976923076923077</v>
      </c>
      <c r="O99" s="40">
        <v>6.976923076923077</v>
      </c>
      <c r="P99" s="40">
        <v>11.17</v>
      </c>
      <c r="Q99" s="40">
        <f t="shared" si="11"/>
        <v>95.242307692307691</v>
      </c>
    </row>
    <row r="100" spans="1:17" ht="16.5" thickBot="1">
      <c r="A100" s="13">
        <v>75.2</v>
      </c>
      <c r="B100" s="16" t="s">
        <v>213</v>
      </c>
      <c r="C100" s="54"/>
      <c r="D100" s="40">
        <f t="shared" si="17"/>
        <v>0</v>
      </c>
      <c r="E100" s="32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f t="shared" si="11"/>
        <v>0</v>
      </c>
    </row>
    <row r="101" spans="1:17" ht="16.5" thickBot="1">
      <c r="A101" s="13">
        <v>76</v>
      </c>
      <c r="B101" s="16" t="s">
        <v>64</v>
      </c>
      <c r="C101" s="54">
        <v>135.84</v>
      </c>
      <c r="D101" s="40">
        <f t="shared" si="17"/>
        <v>10.44923076923077</v>
      </c>
      <c r="E101" s="32">
        <v>9.9515384615384619</v>
      </c>
      <c r="F101" s="40">
        <v>9.9515384615384619</v>
      </c>
      <c r="G101" s="40">
        <v>9.9515384615384619</v>
      </c>
      <c r="H101" s="40">
        <v>9.9515384615384619</v>
      </c>
      <c r="I101" s="40">
        <v>9.9515384615384619</v>
      </c>
      <c r="J101" s="40">
        <v>9.9515384615384619</v>
      </c>
      <c r="K101" s="40">
        <v>9.9515384615384619</v>
      </c>
      <c r="L101" s="40">
        <v>9.9515384615384619</v>
      </c>
      <c r="M101" s="40">
        <v>9.9515384615384619</v>
      </c>
      <c r="N101" s="40">
        <v>9.9515384615384619</v>
      </c>
      <c r="O101" s="40">
        <v>9.9515384615384619</v>
      </c>
      <c r="P101" s="40">
        <v>15.92</v>
      </c>
      <c r="Q101" s="40">
        <f t="shared" si="11"/>
        <v>135.83615384615385</v>
      </c>
    </row>
    <row r="102" spans="1:17" ht="16.5" thickBot="1">
      <c r="A102" s="13">
        <v>77</v>
      </c>
      <c r="B102" s="16" t="s">
        <v>65</v>
      </c>
      <c r="C102" s="54">
        <v>1029.32</v>
      </c>
      <c r="D102" s="40">
        <f t="shared" si="17"/>
        <v>79.178461538461534</v>
      </c>
      <c r="E102" s="32">
        <v>60.023076923076921</v>
      </c>
      <c r="F102" s="40">
        <v>60.023076923076921</v>
      </c>
      <c r="G102" s="40">
        <v>60.023076923076921</v>
      </c>
      <c r="H102" s="40">
        <v>60.023076923076921</v>
      </c>
      <c r="I102" s="40">
        <v>60.023076923076921</v>
      </c>
      <c r="J102" s="40">
        <v>60.023076923076921</v>
      </c>
      <c r="K102" s="40">
        <v>60.023076923076921</v>
      </c>
      <c r="L102" s="40">
        <v>60.023076923076921</v>
      </c>
      <c r="M102" s="40">
        <v>60.023076923076921</v>
      </c>
      <c r="N102" s="40">
        <v>60.023076923076921</v>
      </c>
      <c r="O102" s="40">
        <v>60.023076923076921</v>
      </c>
      <c r="P102" s="40">
        <v>289.89</v>
      </c>
      <c r="Q102" s="40">
        <f t="shared" si="11"/>
        <v>1029.3223076923077</v>
      </c>
    </row>
    <row r="103" spans="1:17" ht="16.5" thickBot="1">
      <c r="A103" s="13">
        <v>78</v>
      </c>
      <c r="B103" s="16" t="s">
        <v>66</v>
      </c>
      <c r="C103" s="54">
        <v>86.88</v>
      </c>
      <c r="D103" s="40">
        <f t="shared" si="17"/>
        <v>6.6830769230769231</v>
      </c>
      <c r="E103" s="32">
        <v>6.3646153846153846</v>
      </c>
      <c r="F103" s="40">
        <v>6.3646153846153846</v>
      </c>
      <c r="G103" s="40">
        <v>6.3646153846153846</v>
      </c>
      <c r="H103" s="40">
        <v>6.3646153846153846</v>
      </c>
      <c r="I103" s="40">
        <v>6.3646153846153846</v>
      </c>
      <c r="J103" s="40">
        <v>6.3646153846153846</v>
      </c>
      <c r="K103" s="40">
        <v>6.3646153846153846</v>
      </c>
      <c r="L103" s="40">
        <v>6.3646153846153846</v>
      </c>
      <c r="M103" s="40">
        <v>6.3646153846153846</v>
      </c>
      <c r="N103" s="40">
        <v>6.3646153846153846</v>
      </c>
      <c r="O103" s="40">
        <v>6.3646153846153846</v>
      </c>
      <c r="P103" s="40">
        <v>10.19</v>
      </c>
      <c r="Q103" s="40">
        <f t="shared" si="11"/>
        <v>86.88384615384615</v>
      </c>
    </row>
    <row r="104" spans="1:17" ht="22.5" customHeight="1" thickBot="1">
      <c r="A104" s="13">
        <v>79.099999999999994</v>
      </c>
      <c r="B104" s="14" t="s">
        <v>17</v>
      </c>
      <c r="C104" s="54">
        <v>39.380000000000003</v>
      </c>
      <c r="D104" s="40">
        <f t="shared" si="17"/>
        <v>3.0292307692307694</v>
      </c>
      <c r="E104" s="32">
        <v>2.8846153846153846</v>
      </c>
      <c r="F104" s="40">
        <v>2.8846153846153846</v>
      </c>
      <c r="G104" s="40">
        <v>2.8846153846153846</v>
      </c>
      <c r="H104" s="40">
        <v>2.8846153846153846</v>
      </c>
      <c r="I104" s="40">
        <v>2.8846153846153846</v>
      </c>
      <c r="J104" s="40">
        <v>2.8846153846153846</v>
      </c>
      <c r="K104" s="40">
        <v>2.8846153846153846</v>
      </c>
      <c r="L104" s="40">
        <v>2.8846153846153846</v>
      </c>
      <c r="M104" s="40">
        <v>2.8846153846153846</v>
      </c>
      <c r="N104" s="40">
        <v>2.8846153846153846</v>
      </c>
      <c r="O104" s="40">
        <v>2.8846153846153846</v>
      </c>
      <c r="P104" s="40">
        <v>4.62</v>
      </c>
      <c r="Q104" s="40">
        <f t="shared" si="11"/>
        <v>39.379999999999988</v>
      </c>
    </row>
    <row r="105" spans="1:17" ht="16.5" thickBot="1">
      <c r="A105" s="13">
        <v>79.2</v>
      </c>
      <c r="B105" s="14" t="s">
        <v>212</v>
      </c>
      <c r="C105" s="54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3"/>
      <c r="Q105" s="40">
        <f t="shared" si="11"/>
        <v>0</v>
      </c>
    </row>
    <row r="106" spans="1:17" ht="32.25" thickBot="1">
      <c r="A106" s="10"/>
      <c r="B106" s="11" t="s">
        <v>176</v>
      </c>
      <c r="C106" s="56">
        <f>SUM(C107:C110)</f>
        <v>308.69</v>
      </c>
      <c r="D106" s="12">
        <f t="shared" ref="D106:P106" si="18">SUM(D107:D110)</f>
        <v>1.25</v>
      </c>
      <c r="E106" s="12">
        <f t="shared" si="18"/>
        <v>1.1099999999999999</v>
      </c>
      <c r="F106" s="12">
        <f t="shared" si="18"/>
        <v>4.75</v>
      </c>
      <c r="G106" s="12">
        <f t="shared" si="18"/>
        <v>1.1099999999999999</v>
      </c>
      <c r="H106" s="12">
        <f t="shared" si="18"/>
        <v>1.28</v>
      </c>
      <c r="I106" s="12">
        <f t="shared" si="18"/>
        <v>1.28</v>
      </c>
      <c r="J106" s="12">
        <f t="shared" si="18"/>
        <v>1.1499999999999999</v>
      </c>
      <c r="K106" s="12">
        <f t="shared" si="18"/>
        <v>1.1499999999999999</v>
      </c>
      <c r="L106" s="12">
        <f t="shared" si="18"/>
        <v>1.19</v>
      </c>
      <c r="M106" s="12">
        <f t="shared" si="18"/>
        <v>1.27</v>
      </c>
      <c r="N106" s="12">
        <f t="shared" si="18"/>
        <v>1.19</v>
      </c>
      <c r="O106" s="12">
        <f t="shared" si="18"/>
        <v>1.23</v>
      </c>
      <c r="P106" s="12">
        <f t="shared" si="18"/>
        <v>290.73</v>
      </c>
      <c r="Q106" s="40">
        <f t="shared" si="11"/>
        <v>308.69</v>
      </c>
    </row>
    <row r="107" spans="1:17" ht="16.5" thickBot="1">
      <c r="A107" s="13">
        <v>80</v>
      </c>
      <c r="B107" s="14" t="s">
        <v>67</v>
      </c>
      <c r="C107" s="54">
        <v>66.62</v>
      </c>
      <c r="D107" s="40">
        <v>0.5</v>
      </c>
      <c r="E107" s="40">
        <v>0.42</v>
      </c>
      <c r="F107" s="40">
        <v>0.5</v>
      </c>
      <c r="G107" s="40">
        <v>0.42</v>
      </c>
      <c r="H107" s="40">
        <v>0.54</v>
      </c>
      <c r="I107" s="40">
        <v>0.54</v>
      </c>
      <c r="J107" s="40">
        <v>0.46</v>
      </c>
      <c r="K107" s="40">
        <v>0.46</v>
      </c>
      <c r="L107" s="40">
        <v>0.5</v>
      </c>
      <c r="M107" s="40">
        <v>0.57999999999999996</v>
      </c>
      <c r="N107" s="40">
        <v>0.5</v>
      </c>
      <c r="O107" s="40">
        <v>0.54</v>
      </c>
      <c r="P107" s="41">
        <v>60.66</v>
      </c>
      <c r="Q107" s="40">
        <f t="shared" si="11"/>
        <v>66.61999999999999</v>
      </c>
    </row>
    <row r="108" spans="1:17" ht="16.5" thickBot="1">
      <c r="A108" s="13">
        <v>81</v>
      </c>
      <c r="B108" s="14" t="s">
        <v>68</v>
      </c>
      <c r="C108" s="54">
        <v>132.32</v>
      </c>
      <c r="D108" s="40">
        <v>0.25</v>
      </c>
      <c r="E108" s="40">
        <v>0.19</v>
      </c>
      <c r="F108" s="40">
        <v>1.25</v>
      </c>
      <c r="G108" s="40">
        <v>0.19</v>
      </c>
      <c r="H108" s="40">
        <v>0.24</v>
      </c>
      <c r="I108" s="40">
        <v>0.24</v>
      </c>
      <c r="J108" s="40">
        <v>0.19</v>
      </c>
      <c r="K108" s="40">
        <v>0.19</v>
      </c>
      <c r="L108" s="40">
        <v>0.19</v>
      </c>
      <c r="M108" s="40">
        <v>0.19</v>
      </c>
      <c r="N108" s="40">
        <v>0.19</v>
      </c>
      <c r="O108" s="40">
        <v>0.19</v>
      </c>
      <c r="P108" s="41">
        <v>128.82</v>
      </c>
      <c r="Q108" s="40">
        <f t="shared" si="11"/>
        <v>132.32</v>
      </c>
    </row>
    <row r="109" spans="1:17" ht="16.5" thickBot="1">
      <c r="A109" s="13">
        <v>82</v>
      </c>
      <c r="B109" s="14" t="s">
        <v>69</v>
      </c>
      <c r="C109" s="5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1"/>
      <c r="Q109" s="40">
        <f t="shared" si="11"/>
        <v>0</v>
      </c>
    </row>
    <row r="110" spans="1:17" ht="16.5" thickBot="1">
      <c r="A110" s="13">
        <v>83</v>
      </c>
      <c r="B110" s="14" t="s">
        <v>70</v>
      </c>
      <c r="C110" s="54">
        <v>109.75</v>
      </c>
      <c r="D110" s="40">
        <v>0.5</v>
      </c>
      <c r="E110" s="40">
        <v>0.5</v>
      </c>
      <c r="F110" s="40">
        <v>3</v>
      </c>
      <c r="G110" s="40">
        <v>0.5</v>
      </c>
      <c r="H110" s="40">
        <v>0.5</v>
      </c>
      <c r="I110" s="40">
        <v>0.5</v>
      </c>
      <c r="J110" s="40">
        <v>0.5</v>
      </c>
      <c r="K110" s="40">
        <v>0.5</v>
      </c>
      <c r="L110" s="40">
        <v>0.5</v>
      </c>
      <c r="M110" s="40">
        <v>0.5</v>
      </c>
      <c r="N110" s="40">
        <v>0.5</v>
      </c>
      <c r="O110" s="40">
        <v>0.5</v>
      </c>
      <c r="P110" s="41">
        <v>101.25</v>
      </c>
      <c r="Q110" s="40">
        <f t="shared" si="11"/>
        <v>109.75</v>
      </c>
    </row>
    <row r="111" spans="1:17" ht="32.25" thickBot="1">
      <c r="A111" s="10">
        <v>84</v>
      </c>
      <c r="B111" s="11" t="s">
        <v>177</v>
      </c>
      <c r="C111" s="59">
        <v>26.17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3">
        <v>26.17</v>
      </c>
      <c r="Q111" s="40">
        <f t="shared" si="11"/>
        <v>26.17</v>
      </c>
    </row>
    <row r="112" spans="1:17" ht="48" thickBot="1">
      <c r="A112" s="10">
        <v>85</v>
      </c>
      <c r="B112" s="11" t="s">
        <v>178</v>
      </c>
      <c r="C112" s="59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40">
        <f t="shared" si="11"/>
        <v>0</v>
      </c>
    </row>
    <row r="113" spans="1:17" ht="32.25" thickBot="1">
      <c r="A113" s="10">
        <v>86</v>
      </c>
      <c r="B113" s="11" t="s">
        <v>179</v>
      </c>
      <c r="C113" s="59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3"/>
      <c r="Q113" s="40">
        <f t="shared" si="11"/>
        <v>0</v>
      </c>
    </row>
    <row r="114" spans="1:17" ht="32.25" thickBot="1">
      <c r="A114" s="18" t="s">
        <v>219</v>
      </c>
      <c r="B114" s="20" t="s">
        <v>194</v>
      </c>
      <c r="C114" s="58">
        <f>C115+C126+C129+C135+C139+C145+C149+C154+C155+C156+C160</f>
        <v>1138.49</v>
      </c>
      <c r="D114" s="9">
        <f t="shared" ref="D114:P114" si="19">D115+D126+D129+D135+D139+D145+D149+D154+D155+D156+D160</f>
        <v>47.570846153846155</v>
      </c>
      <c r="E114" s="9">
        <f t="shared" si="19"/>
        <v>46.95384615384615</v>
      </c>
      <c r="F114" s="9">
        <f t="shared" si="19"/>
        <v>50.153846153846153</v>
      </c>
      <c r="G114" s="9">
        <f t="shared" si="19"/>
        <v>50.95384615384615</v>
      </c>
      <c r="H114" s="9">
        <f t="shared" si="19"/>
        <v>46.95384615384615</v>
      </c>
      <c r="I114" s="9">
        <f t="shared" si="19"/>
        <v>47.364546153846149</v>
      </c>
      <c r="J114" s="9">
        <f t="shared" si="19"/>
        <v>46.95384615384615</v>
      </c>
      <c r="K114" s="9">
        <f t="shared" si="19"/>
        <v>47.231076153846153</v>
      </c>
      <c r="L114" s="9">
        <f t="shared" si="19"/>
        <v>47.255946153846153</v>
      </c>
      <c r="M114" s="9">
        <f t="shared" si="19"/>
        <v>50.153846153846153</v>
      </c>
      <c r="N114" s="9">
        <f t="shared" si="19"/>
        <v>46.95384615384615</v>
      </c>
      <c r="O114" s="9">
        <f t="shared" si="19"/>
        <v>46.95384615384615</v>
      </c>
      <c r="P114" s="9">
        <f t="shared" si="19"/>
        <v>563.03384615384618</v>
      </c>
      <c r="Q114" s="40">
        <f t="shared" si="11"/>
        <v>1138.48703</v>
      </c>
    </row>
    <row r="115" spans="1:17" ht="48" thickBot="1">
      <c r="A115" s="10"/>
      <c r="B115" s="11" t="s">
        <v>180</v>
      </c>
      <c r="C115" s="52">
        <f>SUM(C116:C125)</f>
        <v>140.38999999999999</v>
      </c>
      <c r="D115" s="12">
        <f t="shared" ref="D115:P115" si="20">SUM(D116:D125)</f>
        <v>0.61699999999999999</v>
      </c>
      <c r="E115" s="12">
        <f t="shared" si="20"/>
        <v>0</v>
      </c>
      <c r="F115" s="12">
        <f t="shared" si="20"/>
        <v>3.2</v>
      </c>
      <c r="G115" s="12">
        <f t="shared" si="20"/>
        <v>4</v>
      </c>
      <c r="H115" s="12">
        <f t="shared" si="20"/>
        <v>0</v>
      </c>
      <c r="I115" s="12">
        <f t="shared" si="20"/>
        <v>0.41070000000000001</v>
      </c>
      <c r="J115" s="12">
        <f t="shared" si="20"/>
        <v>0</v>
      </c>
      <c r="K115" s="12">
        <f t="shared" si="20"/>
        <v>0.27722999999999998</v>
      </c>
      <c r="L115" s="12">
        <f t="shared" si="20"/>
        <v>0.30210000000000004</v>
      </c>
      <c r="M115" s="12">
        <f t="shared" si="20"/>
        <v>3.2</v>
      </c>
      <c r="N115" s="12">
        <f t="shared" si="20"/>
        <v>0</v>
      </c>
      <c r="O115" s="12">
        <f t="shared" si="20"/>
        <v>0</v>
      </c>
      <c r="P115" s="12">
        <f t="shared" si="20"/>
        <v>128.38</v>
      </c>
      <c r="Q115" s="40">
        <f t="shared" si="11"/>
        <v>140.38702999999998</v>
      </c>
    </row>
    <row r="116" spans="1:17" ht="16.5" thickBot="1">
      <c r="A116" s="13">
        <v>87</v>
      </c>
      <c r="B116" s="16" t="s">
        <v>72</v>
      </c>
      <c r="C116" s="57">
        <v>10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3">
        <v>10</v>
      </c>
      <c r="Q116" s="40">
        <f t="shared" si="11"/>
        <v>10</v>
      </c>
    </row>
    <row r="117" spans="1:17" ht="16.5" thickBot="1">
      <c r="A117" s="13">
        <v>88</v>
      </c>
      <c r="B117" s="16" t="s">
        <v>73</v>
      </c>
      <c r="C117" s="57">
        <v>20</v>
      </c>
      <c r="D117" s="32"/>
      <c r="E117" s="32"/>
      <c r="F117" s="32">
        <v>3</v>
      </c>
      <c r="G117" s="32">
        <v>4</v>
      </c>
      <c r="H117" s="32"/>
      <c r="I117" s="32"/>
      <c r="J117" s="32"/>
      <c r="K117" s="32"/>
      <c r="L117" s="32"/>
      <c r="M117" s="32">
        <v>3</v>
      </c>
      <c r="N117" s="32"/>
      <c r="O117" s="32"/>
      <c r="P117" s="33">
        <f>20-10</f>
        <v>10</v>
      </c>
      <c r="Q117" s="40">
        <f t="shared" si="11"/>
        <v>20</v>
      </c>
    </row>
    <row r="118" spans="1:17" ht="16.5" thickBot="1">
      <c r="A118" s="13">
        <v>89</v>
      </c>
      <c r="B118" s="16" t="s">
        <v>74</v>
      </c>
      <c r="C118" s="54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3"/>
      <c r="Q118" s="40">
        <f t="shared" si="11"/>
        <v>0</v>
      </c>
    </row>
    <row r="119" spans="1:17" ht="16.5" thickBot="1">
      <c r="A119" s="13">
        <v>90</v>
      </c>
      <c r="B119" s="16" t="s">
        <v>75</v>
      </c>
      <c r="C119" s="54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3"/>
      <c r="Q119" s="40">
        <f t="shared" si="11"/>
        <v>0</v>
      </c>
    </row>
    <row r="120" spans="1:17" ht="16.5" thickBot="1">
      <c r="A120" s="13">
        <v>91</v>
      </c>
      <c r="B120" s="16" t="s">
        <v>76</v>
      </c>
      <c r="C120" s="54">
        <v>2.39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3">
        <v>2.39</v>
      </c>
      <c r="Q120" s="40">
        <f t="shared" si="11"/>
        <v>2.39</v>
      </c>
    </row>
    <row r="121" spans="1:17" ht="32.25" thickBot="1">
      <c r="A121" s="13">
        <v>92</v>
      </c>
      <c r="B121" s="16" t="s">
        <v>77</v>
      </c>
      <c r="C121" s="54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40">
        <f t="shared" si="11"/>
        <v>0</v>
      </c>
    </row>
    <row r="122" spans="1:17" ht="16.5" thickBot="1">
      <c r="A122" s="13">
        <v>93</v>
      </c>
      <c r="B122" s="16" t="s">
        <v>78</v>
      </c>
      <c r="C122" s="57">
        <v>17.5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3">
        <v>17.5</v>
      </c>
      <c r="Q122" s="40">
        <f t="shared" si="11"/>
        <v>17.5</v>
      </c>
    </row>
    <row r="123" spans="1:17" ht="16.5" thickBot="1">
      <c r="A123" s="13">
        <v>94</v>
      </c>
      <c r="B123" s="16" t="s">
        <v>79</v>
      </c>
      <c r="C123" s="57">
        <v>17.5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3">
        <v>17.5</v>
      </c>
      <c r="Q123" s="40">
        <f t="shared" si="11"/>
        <v>17.5</v>
      </c>
    </row>
    <row r="124" spans="1:17" ht="32.25" thickBot="1">
      <c r="A124" s="13">
        <v>95</v>
      </c>
      <c r="B124" s="16" t="s">
        <v>80</v>
      </c>
      <c r="C124" s="57">
        <v>51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3">
        <v>51</v>
      </c>
      <c r="Q124" s="40">
        <f t="shared" si="11"/>
        <v>51</v>
      </c>
    </row>
    <row r="125" spans="1:17" ht="16.5" thickBot="1">
      <c r="A125" s="13">
        <v>96</v>
      </c>
      <c r="B125" s="16" t="s">
        <v>81</v>
      </c>
      <c r="C125" s="53">
        <v>22</v>
      </c>
      <c r="D125" s="32">
        <f>0.2+0.217+0.2</f>
        <v>0.61699999999999999</v>
      </c>
      <c r="E125" s="32"/>
      <c r="F125" s="32">
        <v>0.2</v>
      </c>
      <c r="G125" s="32"/>
      <c r="H125" s="32"/>
      <c r="I125" s="32">
        <f>0.1157+0.095+0.2</f>
        <v>0.41070000000000001</v>
      </c>
      <c r="J125" s="32"/>
      <c r="K125" s="32">
        <f>0.07723+0.2</f>
        <v>0.27722999999999998</v>
      </c>
      <c r="L125" s="32">
        <f>0.1021+0.2</f>
        <v>0.30210000000000004</v>
      </c>
      <c r="M125" s="32">
        <f>0.2</f>
        <v>0.2</v>
      </c>
      <c r="N125" s="32"/>
      <c r="O125" s="32"/>
      <c r="P125" s="33">
        <f>10+2+7.99</f>
        <v>19.990000000000002</v>
      </c>
      <c r="Q125" s="40">
        <f t="shared" si="11"/>
        <v>21.997030000000002</v>
      </c>
    </row>
    <row r="126" spans="1:17" ht="32.25" thickBot="1">
      <c r="A126" s="10"/>
      <c r="B126" s="17" t="s">
        <v>181</v>
      </c>
      <c r="C126" s="56">
        <f>SUM(C127:C128)</f>
        <v>160.04</v>
      </c>
      <c r="D126" s="12">
        <f t="shared" ref="D126:P126" si="21">SUM(D127:D128)</f>
        <v>0.6</v>
      </c>
      <c r="E126" s="12">
        <f t="shared" si="21"/>
        <v>0.6</v>
      </c>
      <c r="F126" s="12">
        <f t="shared" si="21"/>
        <v>0.6</v>
      </c>
      <c r="G126" s="12">
        <f t="shared" si="21"/>
        <v>0.6</v>
      </c>
      <c r="H126" s="12">
        <f t="shared" si="21"/>
        <v>0.6</v>
      </c>
      <c r="I126" s="12">
        <f t="shared" si="21"/>
        <v>0.6</v>
      </c>
      <c r="J126" s="12">
        <f t="shared" si="21"/>
        <v>0.6</v>
      </c>
      <c r="K126" s="12">
        <f t="shared" si="21"/>
        <v>0.6</v>
      </c>
      <c r="L126" s="12">
        <f t="shared" si="21"/>
        <v>0.6</v>
      </c>
      <c r="M126" s="12">
        <f t="shared" si="21"/>
        <v>0.6</v>
      </c>
      <c r="N126" s="12">
        <f t="shared" si="21"/>
        <v>0.6</v>
      </c>
      <c r="O126" s="12">
        <f t="shared" si="21"/>
        <v>0.6</v>
      </c>
      <c r="P126" s="12">
        <f t="shared" si="21"/>
        <v>152.84</v>
      </c>
      <c r="Q126" s="40">
        <f t="shared" si="11"/>
        <v>160.04</v>
      </c>
    </row>
    <row r="127" spans="1:17" ht="16.5" thickBot="1">
      <c r="A127" s="13">
        <v>97</v>
      </c>
      <c r="B127" s="16" t="s">
        <v>82</v>
      </c>
      <c r="C127" s="54">
        <v>160.04</v>
      </c>
      <c r="D127" s="40">
        <v>0.6</v>
      </c>
      <c r="E127" s="40">
        <v>0.6</v>
      </c>
      <c r="F127" s="40">
        <v>0.6</v>
      </c>
      <c r="G127" s="40">
        <v>0.6</v>
      </c>
      <c r="H127" s="40">
        <v>0.6</v>
      </c>
      <c r="I127" s="40">
        <v>0.6</v>
      </c>
      <c r="J127" s="40">
        <v>0.6</v>
      </c>
      <c r="K127" s="40">
        <v>0.6</v>
      </c>
      <c r="L127" s="40">
        <v>0.6</v>
      </c>
      <c r="M127" s="40">
        <v>0.6</v>
      </c>
      <c r="N127" s="40">
        <v>0.6</v>
      </c>
      <c r="O127" s="40">
        <v>0.6</v>
      </c>
      <c r="P127" s="40">
        <v>152.84</v>
      </c>
      <c r="Q127" s="40">
        <f t="shared" si="11"/>
        <v>160.04</v>
      </c>
    </row>
    <row r="128" spans="1:17" ht="22.5" customHeight="1" thickBot="1">
      <c r="A128" s="13">
        <v>98</v>
      </c>
      <c r="B128" s="16" t="s">
        <v>17</v>
      </c>
      <c r="C128" s="54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3"/>
      <c r="Q128" s="40">
        <f t="shared" si="11"/>
        <v>0</v>
      </c>
    </row>
    <row r="129" spans="1:17" ht="32.25" thickBot="1">
      <c r="A129" s="10"/>
      <c r="B129" s="11" t="s">
        <v>182</v>
      </c>
      <c r="C129" s="56">
        <f>SUM(C130:C134)</f>
        <v>4.13</v>
      </c>
      <c r="D129" s="12">
        <f t="shared" ref="D129:P129" si="22">SUM(D130:D134)</f>
        <v>0</v>
      </c>
      <c r="E129" s="12">
        <f t="shared" si="22"/>
        <v>0</v>
      </c>
      <c r="F129" s="12">
        <f t="shared" si="22"/>
        <v>0</v>
      </c>
      <c r="G129" s="12">
        <f t="shared" si="22"/>
        <v>0</v>
      </c>
      <c r="H129" s="12">
        <f t="shared" si="22"/>
        <v>0</v>
      </c>
      <c r="I129" s="12">
        <f t="shared" si="22"/>
        <v>0</v>
      </c>
      <c r="J129" s="12">
        <f t="shared" si="22"/>
        <v>0</v>
      </c>
      <c r="K129" s="12">
        <f t="shared" si="22"/>
        <v>0</v>
      </c>
      <c r="L129" s="12">
        <f t="shared" si="22"/>
        <v>0</v>
      </c>
      <c r="M129" s="12">
        <f t="shared" si="22"/>
        <v>0</v>
      </c>
      <c r="N129" s="12">
        <f t="shared" si="22"/>
        <v>0</v>
      </c>
      <c r="O129" s="12">
        <f t="shared" si="22"/>
        <v>0</v>
      </c>
      <c r="P129" s="12">
        <f t="shared" si="22"/>
        <v>4.13</v>
      </c>
      <c r="Q129" s="40">
        <f t="shared" si="11"/>
        <v>4.13</v>
      </c>
    </row>
    <row r="130" spans="1:17" ht="16.5" thickBot="1">
      <c r="A130" s="13">
        <v>99</v>
      </c>
      <c r="B130" s="16" t="s">
        <v>83</v>
      </c>
      <c r="C130" s="54">
        <v>1.82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3">
        <v>1.82</v>
      </c>
      <c r="Q130" s="40">
        <f t="shared" si="11"/>
        <v>1.82</v>
      </c>
    </row>
    <row r="131" spans="1:17" ht="16.5" thickBot="1">
      <c r="A131" s="13">
        <v>100</v>
      </c>
      <c r="B131" s="16" t="s">
        <v>84</v>
      </c>
      <c r="C131" s="54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3"/>
      <c r="Q131" s="40">
        <f t="shared" si="11"/>
        <v>0</v>
      </c>
    </row>
    <row r="132" spans="1:17" ht="16.5" thickBot="1">
      <c r="A132" s="13">
        <v>101</v>
      </c>
      <c r="B132" s="16" t="s">
        <v>85</v>
      </c>
      <c r="C132" s="54">
        <v>2.31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3">
        <v>2.31</v>
      </c>
      <c r="Q132" s="40">
        <f t="shared" si="11"/>
        <v>2.31</v>
      </c>
    </row>
    <row r="133" spans="1:17" ht="16.5" thickBot="1">
      <c r="A133" s="13">
        <v>102</v>
      </c>
      <c r="B133" s="16" t="s">
        <v>86</v>
      </c>
      <c r="C133" s="5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3">
        <v>0</v>
      </c>
      <c r="Q133" s="40">
        <f t="shared" si="11"/>
        <v>0</v>
      </c>
    </row>
    <row r="134" spans="1:17" ht="21.75" customHeight="1" thickBot="1">
      <c r="A134" s="13">
        <v>103</v>
      </c>
      <c r="B134" s="16" t="s">
        <v>17</v>
      </c>
      <c r="C134" s="5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3"/>
      <c r="Q134" s="40">
        <f t="shared" si="11"/>
        <v>0</v>
      </c>
    </row>
    <row r="135" spans="1:17" ht="32.25" thickBot="1">
      <c r="A135" s="10"/>
      <c r="B135" s="11" t="s">
        <v>183</v>
      </c>
      <c r="C135" s="52">
        <f>SUM(C136:C138)</f>
        <v>147.38999999999999</v>
      </c>
      <c r="D135" s="12">
        <f t="shared" ref="D135:P135" si="23">SUM(D136:D138)</f>
        <v>11.337692307692308</v>
      </c>
      <c r="E135" s="12">
        <f t="shared" si="23"/>
        <v>11.337692307692308</v>
      </c>
      <c r="F135" s="12">
        <f t="shared" si="23"/>
        <v>11.337692307692308</v>
      </c>
      <c r="G135" s="12">
        <f t="shared" si="23"/>
        <v>11.337692307692308</v>
      </c>
      <c r="H135" s="12">
        <f t="shared" si="23"/>
        <v>11.337692307692308</v>
      </c>
      <c r="I135" s="12">
        <f t="shared" si="23"/>
        <v>11.337692307692308</v>
      </c>
      <c r="J135" s="12">
        <f t="shared" si="23"/>
        <v>11.337692307692308</v>
      </c>
      <c r="K135" s="12">
        <f t="shared" si="23"/>
        <v>11.337692307692308</v>
      </c>
      <c r="L135" s="12">
        <f t="shared" si="23"/>
        <v>11.337692307692308</v>
      </c>
      <c r="M135" s="12">
        <f t="shared" si="23"/>
        <v>11.337692307692308</v>
      </c>
      <c r="N135" s="12">
        <f t="shared" si="23"/>
        <v>11.337692307692308</v>
      </c>
      <c r="O135" s="12">
        <f t="shared" si="23"/>
        <v>11.337692307692308</v>
      </c>
      <c r="P135" s="12">
        <f t="shared" si="23"/>
        <v>11.337692307692308</v>
      </c>
      <c r="Q135" s="40">
        <f t="shared" si="11"/>
        <v>147.38999999999999</v>
      </c>
    </row>
    <row r="136" spans="1:17" ht="16.5" thickBot="1">
      <c r="A136" s="13">
        <v>104</v>
      </c>
      <c r="B136" s="16" t="s">
        <v>87</v>
      </c>
      <c r="C136" s="54">
        <v>49.03</v>
      </c>
      <c r="D136" s="32">
        <f>C136/13</f>
        <v>3.7715384615384617</v>
      </c>
      <c r="E136" s="40">
        <v>3.7715384615384617</v>
      </c>
      <c r="F136" s="40">
        <v>3.7715384615384617</v>
      </c>
      <c r="G136" s="40">
        <v>3.7715384615384617</v>
      </c>
      <c r="H136" s="40">
        <v>3.7715384615384617</v>
      </c>
      <c r="I136" s="40">
        <v>3.7715384615384617</v>
      </c>
      <c r="J136" s="40">
        <v>3.7715384615384617</v>
      </c>
      <c r="K136" s="40">
        <v>3.7715384615384617</v>
      </c>
      <c r="L136" s="40">
        <v>3.7715384615384617</v>
      </c>
      <c r="M136" s="40">
        <v>3.7715384615384617</v>
      </c>
      <c r="N136" s="40">
        <v>3.7715384615384617</v>
      </c>
      <c r="O136" s="40">
        <v>3.7715384615384617</v>
      </c>
      <c r="P136" s="40">
        <v>3.7715384615384617</v>
      </c>
      <c r="Q136" s="40">
        <f t="shared" si="11"/>
        <v>49.03</v>
      </c>
    </row>
    <row r="137" spans="1:17" ht="16.5" thickBot="1">
      <c r="A137" s="13">
        <v>105</v>
      </c>
      <c r="B137" s="14" t="s">
        <v>88</v>
      </c>
      <c r="C137" s="53">
        <v>38.32</v>
      </c>
      <c r="D137" s="40">
        <f t="shared" ref="D137:D138" si="24">C137/13</f>
        <v>2.9476923076923076</v>
      </c>
      <c r="E137" s="40">
        <v>2.9476923076923076</v>
      </c>
      <c r="F137" s="40">
        <v>2.9476923076923076</v>
      </c>
      <c r="G137" s="40">
        <v>2.9476923076923076</v>
      </c>
      <c r="H137" s="40">
        <v>2.9476923076923076</v>
      </c>
      <c r="I137" s="40">
        <v>2.9476923076923076</v>
      </c>
      <c r="J137" s="40">
        <v>2.9476923076923076</v>
      </c>
      <c r="K137" s="40">
        <v>2.9476923076923076</v>
      </c>
      <c r="L137" s="40">
        <v>2.9476923076923076</v>
      </c>
      <c r="M137" s="40">
        <v>2.9476923076923076</v>
      </c>
      <c r="N137" s="40">
        <v>2.9476923076923076</v>
      </c>
      <c r="O137" s="40">
        <v>2.9476923076923076</v>
      </c>
      <c r="P137" s="40">
        <v>2.9476923076923076</v>
      </c>
      <c r="Q137" s="40">
        <f t="shared" si="11"/>
        <v>38.32</v>
      </c>
    </row>
    <row r="138" spans="1:17" ht="16.5" thickBot="1">
      <c r="A138" s="13">
        <v>106</v>
      </c>
      <c r="B138" s="16" t="s">
        <v>89</v>
      </c>
      <c r="C138" s="53">
        <v>60.04</v>
      </c>
      <c r="D138" s="40">
        <f t="shared" si="24"/>
        <v>4.6184615384615384</v>
      </c>
      <c r="E138" s="40">
        <v>4.6184615384615384</v>
      </c>
      <c r="F138" s="40">
        <v>4.6184615384615384</v>
      </c>
      <c r="G138" s="40">
        <v>4.6184615384615384</v>
      </c>
      <c r="H138" s="40">
        <v>4.6184615384615384</v>
      </c>
      <c r="I138" s="40">
        <v>4.6184615384615384</v>
      </c>
      <c r="J138" s="40">
        <v>4.6184615384615384</v>
      </c>
      <c r="K138" s="40">
        <v>4.6184615384615384</v>
      </c>
      <c r="L138" s="40">
        <v>4.6184615384615384</v>
      </c>
      <c r="M138" s="40">
        <v>4.6184615384615384</v>
      </c>
      <c r="N138" s="40">
        <v>4.6184615384615384</v>
      </c>
      <c r="O138" s="40">
        <v>4.6184615384615384</v>
      </c>
      <c r="P138" s="40">
        <v>4.6184615384615384</v>
      </c>
      <c r="Q138" s="40">
        <f t="shared" si="11"/>
        <v>60.04</v>
      </c>
    </row>
    <row r="139" spans="1:17" ht="48" thickBot="1">
      <c r="A139" s="10"/>
      <c r="B139" s="17" t="s">
        <v>184</v>
      </c>
      <c r="C139" s="52">
        <f>SUM(C140:C144)</f>
        <v>310.88</v>
      </c>
      <c r="D139" s="12">
        <f t="shared" ref="D139:P139" si="25">SUM(D140:D144)</f>
        <v>23.913846153846155</v>
      </c>
      <c r="E139" s="12">
        <f t="shared" si="25"/>
        <v>23.913846153846155</v>
      </c>
      <c r="F139" s="12">
        <f t="shared" si="25"/>
        <v>23.913846153846155</v>
      </c>
      <c r="G139" s="12">
        <f t="shared" si="25"/>
        <v>23.913846153846155</v>
      </c>
      <c r="H139" s="12">
        <f t="shared" si="25"/>
        <v>23.913846153846155</v>
      </c>
      <c r="I139" s="12">
        <f t="shared" si="25"/>
        <v>23.913846153846155</v>
      </c>
      <c r="J139" s="12">
        <f t="shared" si="25"/>
        <v>23.913846153846155</v>
      </c>
      <c r="K139" s="12">
        <f t="shared" si="25"/>
        <v>23.913846153846155</v>
      </c>
      <c r="L139" s="12">
        <f t="shared" si="25"/>
        <v>23.913846153846155</v>
      </c>
      <c r="M139" s="12">
        <f t="shared" si="25"/>
        <v>23.913846153846155</v>
      </c>
      <c r="N139" s="12">
        <f t="shared" si="25"/>
        <v>23.913846153846155</v>
      </c>
      <c r="O139" s="12">
        <f t="shared" si="25"/>
        <v>23.913846153846155</v>
      </c>
      <c r="P139" s="12">
        <f t="shared" si="25"/>
        <v>23.913846153846155</v>
      </c>
      <c r="Q139" s="40">
        <f t="shared" si="11"/>
        <v>310.88000000000005</v>
      </c>
    </row>
    <row r="140" spans="1:17" ht="16.5" thickBot="1">
      <c r="A140" s="13">
        <v>107</v>
      </c>
      <c r="B140" s="16" t="s">
        <v>90</v>
      </c>
      <c r="C140" s="54">
        <v>29.29</v>
      </c>
      <c r="D140" s="40">
        <f t="shared" ref="D140:D143" si="26">C140/13</f>
        <v>2.253076923076923</v>
      </c>
      <c r="E140" s="32">
        <v>2.253076923076923</v>
      </c>
      <c r="F140" s="32">
        <v>2.253076923076923</v>
      </c>
      <c r="G140" s="32">
        <v>2.253076923076923</v>
      </c>
      <c r="H140" s="32">
        <v>2.253076923076923</v>
      </c>
      <c r="I140" s="32">
        <v>2.253076923076923</v>
      </c>
      <c r="J140" s="32">
        <v>2.253076923076923</v>
      </c>
      <c r="K140" s="32">
        <v>2.253076923076923</v>
      </c>
      <c r="L140" s="32">
        <v>2.253076923076923</v>
      </c>
      <c r="M140" s="32">
        <v>2.253076923076923</v>
      </c>
      <c r="N140" s="32">
        <v>2.253076923076923</v>
      </c>
      <c r="O140" s="32">
        <v>2.253076923076923</v>
      </c>
      <c r="P140" s="42">
        <v>2.253076923076923</v>
      </c>
      <c r="Q140" s="40">
        <f t="shared" si="11"/>
        <v>29.289999999999992</v>
      </c>
    </row>
    <row r="141" spans="1:17" ht="16.5" thickBot="1">
      <c r="A141" s="13">
        <v>108</v>
      </c>
      <c r="B141" s="16" t="s">
        <v>91</v>
      </c>
      <c r="C141" s="54">
        <v>26.71</v>
      </c>
      <c r="D141" s="40">
        <f t="shared" si="26"/>
        <v>2.0546153846153845</v>
      </c>
      <c r="E141" s="32">
        <v>2.0546153846153845</v>
      </c>
      <c r="F141" s="32">
        <v>2.0546153846153845</v>
      </c>
      <c r="G141" s="32">
        <v>2.0546153846153845</v>
      </c>
      <c r="H141" s="32">
        <v>2.0546153846153845</v>
      </c>
      <c r="I141" s="32">
        <v>2.0546153846153845</v>
      </c>
      <c r="J141" s="32">
        <v>2.0546153846153845</v>
      </c>
      <c r="K141" s="32">
        <v>2.0546153846153845</v>
      </c>
      <c r="L141" s="32">
        <v>2.0546153846153845</v>
      </c>
      <c r="M141" s="32">
        <v>2.0546153846153845</v>
      </c>
      <c r="N141" s="32">
        <v>2.0546153846153845</v>
      </c>
      <c r="O141" s="32">
        <v>2.0546153846153845</v>
      </c>
      <c r="P141" s="42">
        <v>2.0546153846153845</v>
      </c>
      <c r="Q141" s="40">
        <f t="shared" ref="Q141:Q204" si="27">SUM(D141:P141)</f>
        <v>26.71</v>
      </c>
    </row>
    <row r="142" spans="1:17" ht="16.5" thickBot="1">
      <c r="A142" s="13">
        <v>109</v>
      </c>
      <c r="B142" s="16" t="s">
        <v>92</v>
      </c>
      <c r="C142" s="57">
        <v>20</v>
      </c>
      <c r="D142" s="40">
        <f t="shared" si="26"/>
        <v>1.5384615384615385</v>
      </c>
      <c r="E142" s="32">
        <v>1.5384615384615385</v>
      </c>
      <c r="F142" s="32">
        <v>1.5384615384615385</v>
      </c>
      <c r="G142" s="32">
        <v>1.5384615384615385</v>
      </c>
      <c r="H142" s="32">
        <v>1.5384615384615385</v>
      </c>
      <c r="I142" s="32">
        <v>1.5384615384615385</v>
      </c>
      <c r="J142" s="32">
        <v>1.5384615384615385</v>
      </c>
      <c r="K142" s="32">
        <v>1.5384615384615385</v>
      </c>
      <c r="L142" s="32">
        <v>1.5384615384615385</v>
      </c>
      <c r="M142" s="32">
        <v>1.5384615384615385</v>
      </c>
      <c r="N142" s="32">
        <v>1.5384615384615385</v>
      </c>
      <c r="O142" s="32">
        <v>1.5384615384615385</v>
      </c>
      <c r="P142" s="42">
        <v>1.5384615384615385</v>
      </c>
      <c r="Q142" s="40">
        <f t="shared" si="27"/>
        <v>20.000000000000004</v>
      </c>
    </row>
    <row r="143" spans="1:17" ht="16.5" thickBot="1">
      <c r="A143" s="13">
        <v>110</v>
      </c>
      <c r="B143" s="16" t="s">
        <v>93</v>
      </c>
      <c r="C143" s="60">
        <v>234.88</v>
      </c>
      <c r="D143" s="40">
        <f t="shared" si="26"/>
        <v>18.067692307692308</v>
      </c>
      <c r="E143" s="32">
        <v>18.067692307692308</v>
      </c>
      <c r="F143" s="32">
        <v>18.067692307692308</v>
      </c>
      <c r="G143" s="32">
        <v>18.067692307692308</v>
      </c>
      <c r="H143" s="32">
        <v>18.067692307692308</v>
      </c>
      <c r="I143" s="32">
        <v>18.067692307692308</v>
      </c>
      <c r="J143" s="32">
        <v>18.067692307692308</v>
      </c>
      <c r="K143" s="32">
        <v>18.067692307692308</v>
      </c>
      <c r="L143" s="32">
        <v>18.067692307692308</v>
      </c>
      <c r="M143" s="32">
        <v>18.067692307692308</v>
      </c>
      <c r="N143" s="32">
        <v>18.067692307692308</v>
      </c>
      <c r="O143" s="32">
        <v>18.067692307692308</v>
      </c>
      <c r="P143" s="42">
        <v>18.067692307692308</v>
      </c>
      <c r="Q143" s="40">
        <f t="shared" si="27"/>
        <v>234.88000000000002</v>
      </c>
    </row>
    <row r="144" spans="1:17" ht="21.75" customHeight="1" thickBot="1">
      <c r="A144" s="13">
        <v>111</v>
      </c>
      <c r="B144" s="16" t="s">
        <v>17</v>
      </c>
      <c r="C144" s="5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3"/>
      <c r="Q144" s="40">
        <f t="shared" si="27"/>
        <v>0</v>
      </c>
    </row>
    <row r="145" spans="1:17" ht="32.25" thickBot="1">
      <c r="A145" s="10"/>
      <c r="B145" s="11" t="s">
        <v>195</v>
      </c>
      <c r="C145" s="52">
        <f>SUM(C146:C148)</f>
        <v>208.53</v>
      </c>
      <c r="D145" s="12">
        <f t="shared" ref="D145:P145" si="28">SUM(D146:D148)</f>
        <v>0</v>
      </c>
      <c r="E145" s="12">
        <f t="shared" si="28"/>
        <v>0</v>
      </c>
      <c r="F145" s="12">
        <f t="shared" si="28"/>
        <v>0</v>
      </c>
      <c r="G145" s="12">
        <f t="shared" si="28"/>
        <v>0</v>
      </c>
      <c r="H145" s="12">
        <f t="shared" si="28"/>
        <v>0</v>
      </c>
      <c r="I145" s="12">
        <f t="shared" si="28"/>
        <v>0</v>
      </c>
      <c r="J145" s="12">
        <f t="shared" si="28"/>
        <v>0</v>
      </c>
      <c r="K145" s="12">
        <f t="shared" si="28"/>
        <v>0</v>
      </c>
      <c r="L145" s="12">
        <f t="shared" si="28"/>
        <v>0</v>
      </c>
      <c r="M145" s="12">
        <f t="shared" si="28"/>
        <v>0</v>
      </c>
      <c r="N145" s="12">
        <f t="shared" si="28"/>
        <v>0</v>
      </c>
      <c r="O145" s="12">
        <f t="shared" si="28"/>
        <v>0</v>
      </c>
      <c r="P145" s="12">
        <f t="shared" si="28"/>
        <v>208.53</v>
      </c>
      <c r="Q145" s="40">
        <f t="shared" si="27"/>
        <v>208.53</v>
      </c>
    </row>
    <row r="146" spans="1:17" ht="16.5" thickBot="1">
      <c r="A146" s="13">
        <v>112</v>
      </c>
      <c r="B146" s="16" t="s">
        <v>94</v>
      </c>
      <c r="C146" s="53">
        <v>160.87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1">
        <v>160.87</v>
      </c>
      <c r="Q146" s="40">
        <f t="shared" si="27"/>
        <v>160.87</v>
      </c>
    </row>
    <row r="147" spans="1:17" ht="16.5" thickBot="1">
      <c r="A147" s="13">
        <v>113</v>
      </c>
      <c r="B147" s="16" t="s">
        <v>95</v>
      </c>
      <c r="C147" s="5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3"/>
      <c r="Q147" s="40">
        <f t="shared" si="27"/>
        <v>0</v>
      </c>
    </row>
    <row r="148" spans="1:17" ht="32.25" thickBot="1">
      <c r="A148" s="13">
        <v>114</v>
      </c>
      <c r="B148" s="16" t="s">
        <v>185</v>
      </c>
      <c r="C148" s="61">
        <v>47.66</v>
      </c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3">
        <v>47.66</v>
      </c>
      <c r="Q148" s="40">
        <f t="shared" si="27"/>
        <v>47.66</v>
      </c>
    </row>
    <row r="149" spans="1:17" ht="32.25" thickBot="1">
      <c r="A149" s="10"/>
      <c r="B149" s="17" t="s">
        <v>196</v>
      </c>
      <c r="C149" s="56">
        <f>SUM(C150:C153)</f>
        <v>144.32999999999998</v>
      </c>
      <c r="D149" s="12">
        <f t="shared" ref="D149:P149" si="29">SUM(D150:D153)</f>
        <v>11.102307692307692</v>
      </c>
      <c r="E149" s="12">
        <f t="shared" si="29"/>
        <v>11.102307692307692</v>
      </c>
      <c r="F149" s="12">
        <f t="shared" si="29"/>
        <v>11.102307692307692</v>
      </c>
      <c r="G149" s="12">
        <f t="shared" si="29"/>
        <v>11.102307692307692</v>
      </c>
      <c r="H149" s="12">
        <f t="shared" si="29"/>
        <v>11.102307692307692</v>
      </c>
      <c r="I149" s="12">
        <f t="shared" si="29"/>
        <v>11.102307692307692</v>
      </c>
      <c r="J149" s="12">
        <f t="shared" si="29"/>
        <v>11.102307692307692</v>
      </c>
      <c r="K149" s="12">
        <f t="shared" si="29"/>
        <v>11.102307692307692</v>
      </c>
      <c r="L149" s="12">
        <f t="shared" si="29"/>
        <v>11.102307692307692</v>
      </c>
      <c r="M149" s="12">
        <f t="shared" si="29"/>
        <v>11.102307692307692</v>
      </c>
      <c r="N149" s="12">
        <f t="shared" si="29"/>
        <v>11.102307692307692</v>
      </c>
      <c r="O149" s="12">
        <f t="shared" si="29"/>
        <v>11.102307692307692</v>
      </c>
      <c r="P149" s="12">
        <f t="shared" si="29"/>
        <v>11.102307692307692</v>
      </c>
      <c r="Q149" s="40">
        <f t="shared" si="27"/>
        <v>144.33000000000001</v>
      </c>
    </row>
    <row r="150" spans="1:17" ht="16.5" thickBot="1">
      <c r="A150" s="13">
        <v>115</v>
      </c>
      <c r="B150" s="16" t="s">
        <v>96</v>
      </c>
      <c r="C150" s="54">
        <v>48.17</v>
      </c>
      <c r="D150" s="32">
        <f>C150/13</f>
        <v>3.7053846153846157</v>
      </c>
      <c r="E150" s="40">
        <v>3.7053846153846157</v>
      </c>
      <c r="F150" s="40">
        <v>3.7053846153846157</v>
      </c>
      <c r="G150" s="40">
        <v>3.7053846153846157</v>
      </c>
      <c r="H150" s="40">
        <v>3.7053846153846157</v>
      </c>
      <c r="I150" s="40">
        <v>3.7053846153846157</v>
      </c>
      <c r="J150" s="40">
        <v>3.7053846153846157</v>
      </c>
      <c r="K150" s="40">
        <v>3.7053846153846157</v>
      </c>
      <c r="L150" s="40">
        <v>3.7053846153846157</v>
      </c>
      <c r="M150" s="40">
        <v>3.7053846153846157</v>
      </c>
      <c r="N150" s="40">
        <v>3.7053846153846157</v>
      </c>
      <c r="O150" s="40">
        <v>3.7053846153846157</v>
      </c>
      <c r="P150" s="40">
        <v>3.7053846153846157</v>
      </c>
      <c r="Q150" s="40">
        <f t="shared" si="27"/>
        <v>48.170000000000009</v>
      </c>
    </row>
    <row r="151" spans="1:17" ht="16.5" thickBot="1">
      <c r="A151" s="13">
        <v>116</v>
      </c>
      <c r="B151" s="16" t="s">
        <v>97</v>
      </c>
      <c r="C151" s="54">
        <v>40.65</v>
      </c>
      <c r="D151" s="40">
        <f t="shared" ref="D151:D153" si="30">C151/13</f>
        <v>3.1269230769230769</v>
      </c>
      <c r="E151" s="40">
        <v>3.1269230769230769</v>
      </c>
      <c r="F151" s="40">
        <v>3.1269230769230769</v>
      </c>
      <c r="G151" s="40">
        <v>3.1269230769230769</v>
      </c>
      <c r="H151" s="40">
        <v>3.1269230769230769</v>
      </c>
      <c r="I151" s="40">
        <v>3.1269230769230769</v>
      </c>
      <c r="J151" s="40">
        <v>3.1269230769230769</v>
      </c>
      <c r="K151" s="40">
        <v>3.1269230769230769</v>
      </c>
      <c r="L151" s="40">
        <v>3.1269230769230769</v>
      </c>
      <c r="M151" s="40">
        <v>3.1269230769230769</v>
      </c>
      <c r="N151" s="40">
        <v>3.1269230769230769</v>
      </c>
      <c r="O151" s="40">
        <v>3.1269230769230769</v>
      </c>
      <c r="P151" s="40">
        <v>3.1269230769230769</v>
      </c>
      <c r="Q151" s="40">
        <f t="shared" si="27"/>
        <v>40.65</v>
      </c>
    </row>
    <row r="152" spans="1:17" ht="16.5" thickBot="1">
      <c r="A152" s="13">
        <v>117</v>
      </c>
      <c r="B152" s="16" t="s">
        <v>98</v>
      </c>
      <c r="C152" s="54"/>
      <c r="D152" s="40">
        <f t="shared" si="30"/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f t="shared" si="27"/>
        <v>0</v>
      </c>
    </row>
    <row r="153" spans="1:17" ht="22.5" customHeight="1" thickBot="1">
      <c r="A153" s="13">
        <v>118</v>
      </c>
      <c r="B153" s="16" t="s">
        <v>17</v>
      </c>
      <c r="C153" s="54">
        <v>55.51</v>
      </c>
      <c r="D153" s="40">
        <f t="shared" si="30"/>
        <v>4.2699999999999996</v>
      </c>
      <c r="E153" s="40">
        <v>4.2699999999999996</v>
      </c>
      <c r="F153" s="40">
        <v>4.2699999999999996</v>
      </c>
      <c r="G153" s="40">
        <v>4.2699999999999996</v>
      </c>
      <c r="H153" s="40">
        <v>4.2699999999999996</v>
      </c>
      <c r="I153" s="40">
        <v>4.2699999999999996</v>
      </c>
      <c r="J153" s="40">
        <v>4.2699999999999996</v>
      </c>
      <c r="K153" s="40">
        <v>4.2699999999999996</v>
      </c>
      <c r="L153" s="40">
        <v>4.2699999999999996</v>
      </c>
      <c r="M153" s="40">
        <v>4.2699999999999996</v>
      </c>
      <c r="N153" s="40">
        <v>4.2699999999999996</v>
      </c>
      <c r="O153" s="40">
        <v>4.2699999999999996</v>
      </c>
      <c r="P153" s="40">
        <v>4.2699999999999996</v>
      </c>
      <c r="Q153" s="40">
        <f t="shared" si="27"/>
        <v>55.509999999999977</v>
      </c>
    </row>
    <row r="154" spans="1:17" ht="48" thickBot="1">
      <c r="A154" s="10">
        <v>119</v>
      </c>
      <c r="B154" s="11" t="s">
        <v>197</v>
      </c>
      <c r="C154" s="62">
        <v>13.64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3">
        <v>13.64</v>
      </c>
      <c r="Q154" s="40">
        <f t="shared" si="27"/>
        <v>13.64</v>
      </c>
    </row>
    <row r="155" spans="1:17" ht="32.25" thickBot="1">
      <c r="A155" s="10">
        <v>120</v>
      </c>
      <c r="B155" s="11" t="s">
        <v>186</v>
      </c>
      <c r="C155" s="6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3"/>
      <c r="Q155" s="40">
        <f t="shared" si="27"/>
        <v>0</v>
      </c>
    </row>
    <row r="156" spans="1:17" ht="32.25" thickBot="1">
      <c r="A156" s="10"/>
      <c r="B156" s="11" t="s">
        <v>198</v>
      </c>
      <c r="C156" s="56">
        <f>SUM(C157:C159)</f>
        <v>9.16</v>
      </c>
      <c r="D156" s="12">
        <f t="shared" ref="D156:P156" si="31">SUM(D157:D159)</f>
        <v>0</v>
      </c>
      <c r="E156" s="12">
        <f t="shared" si="31"/>
        <v>0</v>
      </c>
      <c r="F156" s="12">
        <f t="shared" si="31"/>
        <v>0</v>
      </c>
      <c r="G156" s="12">
        <f t="shared" si="31"/>
        <v>0</v>
      </c>
      <c r="H156" s="12">
        <f t="shared" si="31"/>
        <v>0</v>
      </c>
      <c r="I156" s="12">
        <f t="shared" si="31"/>
        <v>0</v>
      </c>
      <c r="J156" s="12">
        <f t="shared" si="31"/>
        <v>0</v>
      </c>
      <c r="K156" s="12">
        <f t="shared" si="31"/>
        <v>0</v>
      </c>
      <c r="L156" s="12">
        <f t="shared" si="31"/>
        <v>0</v>
      </c>
      <c r="M156" s="12">
        <f t="shared" si="31"/>
        <v>0</v>
      </c>
      <c r="N156" s="12">
        <f t="shared" si="31"/>
        <v>0</v>
      </c>
      <c r="O156" s="12">
        <f t="shared" si="31"/>
        <v>0</v>
      </c>
      <c r="P156" s="12">
        <f t="shared" si="31"/>
        <v>9.16</v>
      </c>
      <c r="Q156" s="40">
        <f t="shared" si="27"/>
        <v>9.16</v>
      </c>
    </row>
    <row r="157" spans="1:17" ht="16.5" thickBot="1">
      <c r="A157" s="13">
        <v>121</v>
      </c>
      <c r="B157" s="16" t="s">
        <v>99</v>
      </c>
      <c r="C157" s="57">
        <v>2.4</v>
      </c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3">
        <v>2.4</v>
      </c>
      <c r="Q157" s="40">
        <f t="shared" si="27"/>
        <v>2.4</v>
      </c>
    </row>
    <row r="158" spans="1:17" ht="16.5" thickBot="1">
      <c r="A158" s="13">
        <v>122</v>
      </c>
      <c r="B158" s="16" t="s">
        <v>100</v>
      </c>
      <c r="C158" s="57">
        <v>2.8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3">
        <v>2.8</v>
      </c>
      <c r="Q158" s="40">
        <f t="shared" si="27"/>
        <v>2.8</v>
      </c>
    </row>
    <row r="159" spans="1:17" ht="16.5" thickBot="1">
      <c r="A159" s="13">
        <v>123</v>
      </c>
      <c r="B159" s="16" t="s">
        <v>101</v>
      </c>
      <c r="C159" s="57">
        <v>3.96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3">
        <v>3.96</v>
      </c>
      <c r="Q159" s="40">
        <f t="shared" si="27"/>
        <v>3.96</v>
      </c>
    </row>
    <row r="160" spans="1:17" ht="48" thickBot="1">
      <c r="A160" s="10"/>
      <c r="B160" s="11" t="s">
        <v>199</v>
      </c>
      <c r="C160" s="56">
        <f>SUM(C161:C163)</f>
        <v>0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3"/>
      <c r="Q160" s="40">
        <f t="shared" si="27"/>
        <v>0</v>
      </c>
    </row>
    <row r="161" spans="1:17" ht="16.5" thickBot="1">
      <c r="A161" s="13">
        <v>124</v>
      </c>
      <c r="B161" s="16" t="s">
        <v>102</v>
      </c>
      <c r="C161" s="54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3"/>
      <c r="Q161" s="40">
        <f t="shared" si="27"/>
        <v>0</v>
      </c>
    </row>
    <row r="162" spans="1:17" ht="16.5" thickBot="1">
      <c r="A162" s="13">
        <v>125</v>
      </c>
      <c r="B162" s="16" t="s">
        <v>103</v>
      </c>
      <c r="C162" s="5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3"/>
      <c r="Q162" s="40">
        <f t="shared" si="27"/>
        <v>0</v>
      </c>
    </row>
    <row r="163" spans="1:17" ht="32.25" thickBot="1">
      <c r="A163" s="13">
        <v>126</v>
      </c>
      <c r="B163" s="16" t="s">
        <v>71</v>
      </c>
      <c r="C163" s="5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3"/>
      <c r="Q163" s="40">
        <f t="shared" si="27"/>
        <v>0</v>
      </c>
    </row>
    <row r="164" spans="1:17" ht="16.5" thickBot="1">
      <c r="A164" s="7" t="s">
        <v>191</v>
      </c>
      <c r="B164" s="8" t="s">
        <v>161</v>
      </c>
      <c r="C164" s="58">
        <f>C165+C169+C177+C180+C184+C190+C192+C194+C195</f>
        <v>506.89000000000004</v>
      </c>
      <c r="D164" s="9">
        <f t="shared" ref="D164:P164" si="32">D165+D169+D177+D180+D184+D190+D192+D194+D195</f>
        <v>47.46</v>
      </c>
      <c r="E164" s="9">
        <f t="shared" si="32"/>
        <v>0</v>
      </c>
      <c r="F164" s="9">
        <f t="shared" si="32"/>
        <v>38.71</v>
      </c>
      <c r="G164" s="9">
        <f t="shared" si="32"/>
        <v>0</v>
      </c>
      <c r="H164" s="9">
        <f t="shared" si="32"/>
        <v>0</v>
      </c>
      <c r="I164" s="9">
        <f t="shared" si="32"/>
        <v>18.209999999999997</v>
      </c>
      <c r="J164" s="9">
        <f t="shared" si="32"/>
        <v>0</v>
      </c>
      <c r="K164" s="9">
        <f t="shared" si="32"/>
        <v>0</v>
      </c>
      <c r="L164" s="9">
        <f t="shared" si="32"/>
        <v>0</v>
      </c>
      <c r="M164" s="9">
        <f t="shared" si="32"/>
        <v>17.97</v>
      </c>
      <c r="N164" s="9">
        <f t="shared" si="32"/>
        <v>19.5</v>
      </c>
      <c r="O164" s="9">
        <f t="shared" si="32"/>
        <v>0</v>
      </c>
      <c r="P164" s="9">
        <f t="shared" si="32"/>
        <v>365.03999939999994</v>
      </c>
      <c r="Q164" s="40">
        <f t="shared" si="27"/>
        <v>506.88999939999997</v>
      </c>
    </row>
    <row r="165" spans="1:17" ht="32.25" thickBot="1">
      <c r="A165" s="21"/>
      <c r="B165" s="11" t="s">
        <v>200</v>
      </c>
      <c r="C165" s="56">
        <f>SUM(C166:C168)</f>
        <v>86.77000000000001</v>
      </c>
      <c r="D165" s="12">
        <f t="shared" ref="D165:P165" si="33">SUM(D166:D168)</f>
        <v>3.96</v>
      </c>
      <c r="E165" s="12">
        <f t="shared" si="33"/>
        <v>0</v>
      </c>
      <c r="F165" s="12">
        <f t="shared" si="33"/>
        <v>3.96</v>
      </c>
      <c r="G165" s="12">
        <f t="shared" si="33"/>
        <v>0</v>
      </c>
      <c r="H165" s="12">
        <f t="shared" si="33"/>
        <v>0</v>
      </c>
      <c r="I165" s="12">
        <f t="shared" si="33"/>
        <v>1.98</v>
      </c>
      <c r="J165" s="12">
        <f t="shared" si="33"/>
        <v>0</v>
      </c>
      <c r="K165" s="12">
        <f t="shared" si="33"/>
        <v>0</v>
      </c>
      <c r="L165" s="12">
        <f t="shared" si="33"/>
        <v>0</v>
      </c>
      <c r="M165" s="12">
        <f t="shared" si="33"/>
        <v>1.98</v>
      </c>
      <c r="N165" s="12">
        <f t="shared" si="33"/>
        <v>1.98</v>
      </c>
      <c r="O165" s="12">
        <f t="shared" si="33"/>
        <v>0</v>
      </c>
      <c r="P165" s="12">
        <f t="shared" si="33"/>
        <v>72.909999400000004</v>
      </c>
      <c r="Q165" s="40">
        <f t="shared" si="27"/>
        <v>86.769999400000003</v>
      </c>
    </row>
    <row r="166" spans="1:17" ht="32.25" thickBot="1">
      <c r="A166" s="13">
        <v>127</v>
      </c>
      <c r="B166" s="16" t="s">
        <v>104</v>
      </c>
      <c r="C166" s="54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3"/>
      <c r="Q166" s="40">
        <f t="shared" si="27"/>
        <v>0</v>
      </c>
    </row>
    <row r="167" spans="1:17" ht="16.5" thickBot="1">
      <c r="A167" s="13">
        <v>128</v>
      </c>
      <c r="B167" s="14" t="s">
        <v>105</v>
      </c>
      <c r="C167" s="54">
        <v>85.51</v>
      </c>
      <c r="D167" s="40">
        <v>3.6</v>
      </c>
      <c r="E167" s="40">
        <v>0</v>
      </c>
      <c r="F167" s="40">
        <v>3.6</v>
      </c>
      <c r="G167" s="40">
        <v>0</v>
      </c>
      <c r="H167" s="40">
        <v>0</v>
      </c>
      <c r="I167" s="40">
        <v>1.8</v>
      </c>
      <c r="J167" s="40">
        <v>0</v>
      </c>
      <c r="K167" s="40">
        <v>0</v>
      </c>
      <c r="L167" s="40">
        <v>0</v>
      </c>
      <c r="M167" s="40">
        <v>1.8</v>
      </c>
      <c r="N167" s="40">
        <v>1.8</v>
      </c>
      <c r="O167" s="40">
        <v>0</v>
      </c>
      <c r="P167" s="42">
        <v>72.909999400000004</v>
      </c>
      <c r="Q167" s="40">
        <f t="shared" si="27"/>
        <v>85.509999399999998</v>
      </c>
    </row>
    <row r="168" spans="1:17" ht="16.5" thickBot="1">
      <c r="A168" s="13">
        <v>129</v>
      </c>
      <c r="B168" s="14" t="s">
        <v>106</v>
      </c>
      <c r="C168" s="54">
        <v>1.26</v>
      </c>
      <c r="D168" s="40">
        <v>0.36</v>
      </c>
      <c r="E168" s="40"/>
      <c r="F168" s="40">
        <v>0.36</v>
      </c>
      <c r="G168" s="40"/>
      <c r="H168" s="40"/>
      <c r="I168" s="40">
        <v>0.18</v>
      </c>
      <c r="J168" s="40"/>
      <c r="K168" s="40"/>
      <c r="L168" s="40"/>
      <c r="M168" s="40">
        <v>0.18</v>
      </c>
      <c r="N168" s="40">
        <v>0.18</v>
      </c>
      <c r="O168" s="40"/>
      <c r="P168" s="41"/>
      <c r="Q168" s="40">
        <f t="shared" si="27"/>
        <v>1.2599999999999998</v>
      </c>
    </row>
    <row r="169" spans="1:17" ht="32.25" thickBot="1">
      <c r="A169" s="10"/>
      <c r="B169" s="11" t="s">
        <v>201</v>
      </c>
      <c r="C169" s="59">
        <f>SUM(C170:C176)</f>
        <v>83.899999999999991</v>
      </c>
      <c r="D169" s="59">
        <f t="shared" ref="D169:P169" si="34">SUM(D170:D176)</f>
        <v>23.45</v>
      </c>
      <c r="E169" s="59">
        <f t="shared" si="34"/>
        <v>0</v>
      </c>
      <c r="F169" s="59">
        <f t="shared" si="34"/>
        <v>20.059999999999999</v>
      </c>
      <c r="G169" s="59">
        <f t="shared" si="34"/>
        <v>0</v>
      </c>
      <c r="H169" s="59">
        <f t="shared" si="34"/>
        <v>0</v>
      </c>
      <c r="I169" s="59">
        <f t="shared" si="34"/>
        <v>9.1</v>
      </c>
      <c r="J169" s="59">
        <f t="shared" si="34"/>
        <v>0</v>
      </c>
      <c r="K169" s="59">
        <f t="shared" si="34"/>
        <v>0</v>
      </c>
      <c r="L169" s="59">
        <f t="shared" si="34"/>
        <v>0</v>
      </c>
      <c r="M169" s="59">
        <f t="shared" si="34"/>
        <v>9.01</v>
      </c>
      <c r="N169" s="59">
        <f t="shared" si="34"/>
        <v>8.64</v>
      </c>
      <c r="O169" s="59">
        <f t="shared" si="34"/>
        <v>0</v>
      </c>
      <c r="P169" s="59">
        <f t="shared" si="34"/>
        <v>13.64</v>
      </c>
      <c r="Q169" s="40">
        <f t="shared" si="27"/>
        <v>83.899999999999991</v>
      </c>
    </row>
    <row r="170" spans="1:17" ht="32.25" thickBot="1">
      <c r="A170" s="13">
        <v>130</v>
      </c>
      <c r="B170" s="14" t="s">
        <v>107</v>
      </c>
      <c r="C170" s="54">
        <v>55.08</v>
      </c>
      <c r="D170" s="40">
        <v>17.57</v>
      </c>
      <c r="E170" s="40"/>
      <c r="F170" s="40">
        <v>14.18</v>
      </c>
      <c r="G170" s="40"/>
      <c r="H170" s="40"/>
      <c r="I170" s="40">
        <v>6.16</v>
      </c>
      <c r="J170" s="40"/>
      <c r="K170" s="40"/>
      <c r="L170" s="40"/>
      <c r="M170" s="40">
        <v>6.07</v>
      </c>
      <c r="N170" s="40">
        <v>5.7</v>
      </c>
      <c r="O170" s="40"/>
      <c r="P170" s="41">
        <v>5.4</v>
      </c>
      <c r="Q170" s="40">
        <f t="shared" si="27"/>
        <v>55.08</v>
      </c>
    </row>
    <row r="171" spans="1:17" ht="16.5" thickBot="1">
      <c r="A171" s="13">
        <v>131</v>
      </c>
      <c r="B171" s="16" t="s">
        <v>108</v>
      </c>
      <c r="C171" s="5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1"/>
      <c r="Q171" s="40">
        <f t="shared" si="27"/>
        <v>0</v>
      </c>
    </row>
    <row r="172" spans="1:17" ht="16.5" thickBot="1">
      <c r="A172" s="13">
        <v>132</v>
      </c>
      <c r="B172" s="16" t="s">
        <v>109</v>
      </c>
      <c r="C172" s="5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1"/>
      <c r="Q172" s="40">
        <f t="shared" si="27"/>
        <v>0</v>
      </c>
    </row>
    <row r="173" spans="1:17" ht="16.5" thickBot="1">
      <c r="A173" s="13">
        <v>133</v>
      </c>
      <c r="B173" s="16" t="s">
        <v>110</v>
      </c>
      <c r="C173" s="5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1"/>
      <c r="Q173" s="40">
        <f t="shared" si="27"/>
        <v>0</v>
      </c>
    </row>
    <row r="174" spans="1:17" ht="16.5" thickBot="1">
      <c r="A174" s="13">
        <v>134</v>
      </c>
      <c r="B174" s="16" t="s">
        <v>111</v>
      </c>
      <c r="C174" s="54">
        <v>20.58</v>
      </c>
      <c r="D174" s="40">
        <v>5.88</v>
      </c>
      <c r="E174" s="40"/>
      <c r="F174" s="40">
        <v>5.88</v>
      </c>
      <c r="G174" s="40"/>
      <c r="H174" s="40"/>
      <c r="I174" s="40">
        <v>2.94</v>
      </c>
      <c r="J174" s="40"/>
      <c r="K174" s="40"/>
      <c r="L174" s="40"/>
      <c r="M174" s="40">
        <v>2.94</v>
      </c>
      <c r="N174" s="40">
        <v>2.94</v>
      </c>
      <c r="O174" s="40"/>
      <c r="P174" s="41"/>
      <c r="Q174" s="40">
        <f t="shared" si="27"/>
        <v>20.580000000000002</v>
      </c>
    </row>
    <row r="175" spans="1:17" ht="16.5" thickBot="1">
      <c r="A175" s="13">
        <v>135</v>
      </c>
      <c r="B175" s="16" t="s">
        <v>112</v>
      </c>
      <c r="C175" s="54">
        <v>8.24</v>
      </c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1">
        <v>8.24</v>
      </c>
      <c r="Q175" s="40">
        <f t="shared" si="27"/>
        <v>8.24</v>
      </c>
    </row>
    <row r="176" spans="1:17" ht="16.5" thickBot="1">
      <c r="A176" s="13">
        <v>136</v>
      </c>
      <c r="B176" s="16" t="s">
        <v>113</v>
      </c>
      <c r="C176" s="5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1"/>
      <c r="Q176" s="40">
        <f t="shared" si="27"/>
        <v>0</v>
      </c>
    </row>
    <row r="177" spans="1:17" ht="32.25" thickBot="1">
      <c r="A177" s="10"/>
      <c r="B177" s="11" t="s">
        <v>202</v>
      </c>
      <c r="C177" s="52">
        <f>SUM(C178:C179)</f>
        <v>4.8</v>
      </c>
      <c r="D177" s="52">
        <f t="shared" ref="D177:P177" si="35">SUM(D178:D179)</f>
        <v>0</v>
      </c>
      <c r="E177" s="52">
        <f t="shared" si="35"/>
        <v>0</v>
      </c>
      <c r="F177" s="52">
        <f t="shared" si="35"/>
        <v>2.4</v>
      </c>
      <c r="G177" s="52">
        <f t="shared" si="35"/>
        <v>0</v>
      </c>
      <c r="H177" s="52">
        <f t="shared" si="35"/>
        <v>0</v>
      </c>
      <c r="I177" s="52">
        <f t="shared" si="35"/>
        <v>0</v>
      </c>
      <c r="J177" s="52">
        <f t="shared" si="35"/>
        <v>0</v>
      </c>
      <c r="K177" s="52">
        <f t="shared" si="35"/>
        <v>0</v>
      </c>
      <c r="L177" s="52">
        <f t="shared" si="35"/>
        <v>0</v>
      </c>
      <c r="M177" s="52">
        <f t="shared" si="35"/>
        <v>0</v>
      </c>
      <c r="N177" s="52">
        <f t="shared" si="35"/>
        <v>2.4</v>
      </c>
      <c r="O177" s="52">
        <f t="shared" si="35"/>
        <v>0</v>
      </c>
      <c r="P177" s="52">
        <f t="shared" si="35"/>
        <v>0</v>
      </c>
      <c r="Q177" s="40">
        <f t="shared" si="27"/>
        <v>4.8</v>
      </c>
    </row>
    <row r="178" spans="1:17" ht="16.5" thickBot="1">
      <c r="A178" s="13">
        <v>137</v>
      </c>
      <c r="B178" s="16" t="s">
        <v>114</v>
      </c>
      <c r="C178" s="60">
        <v>4.8</v>
      </c>
      <c r="D178" s="40"/>
      <c r="E178" s="40"/>
      <c r="F178" s="40">
        <v>2.4</v>
      </c>
      <c r="G178" s="40"/>
      <c r="H178" s="40"/>
      <c r="I178" s="40"/>
      <c r="J178" s="40"/>
      <c r="K178" s="40"/>
      <c r="L178" s="40"/>
      <c r="M178" s="40"/>
      <c r="N178" s="40">
        <v>2.4</v>
      </c>
      <c r="O178" s="40"/>
      <c r="P178" s="41"/>
      <c r="Q178" s="40">
        <f t="shared" si="27"/>
        <v>4.8</v>
      </c>
    </row>
    <row r="179" spans="1:17" ht="16.5" thickBot="1">
      <c r="A179" s="13">
        <v>138</v>
      </c>
      <c r="B179" s="16" t="s">
        <v>115</v>
      </c>
      <c r="C179" s="5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1"/>
      <c r="Q179" s="40">
        <f t="shared" si="27"/>
        <v>0</v>
      </c>
    </row>
    <row r="180" spans="1:17" ht="16.5" thickBot="1">
      <c r="A180" s="10"/>
      <c r="B180" s="11" t="s">
        <v>203</v>
      </c>
      <c r="C180" s="59">
        <f>SUM(C181:C183)</f>
        <v>23.73</v>
      </c>
      <c r="D180" s="59">
        <f t="shared" ref="D180:P180" si="36">SUM(D181:D183)</f>
        <v>12.860000000000001</v>
      </c>
      <c r="E180" s="59">
        <f t="shared" si="36"/>
        <v>0</v>
      </c>
      <c r="F180" s="59">
        <f t="shared" si="36"/>
        <v>5.8000000000000007</v>
      </c>
      <c r="G180" s="59">
        <f t="shared" si="36"/>
        <v>0</v>
      </c>
      <c r="H180" s="59">
        <f t="shared" si="36"/>
        <v>0</v>
      </c>
      <c r="I180" s="59">
        <f t="shared" si="36"/>
        <v>1.69</v>
      </c>
      <c r="J180" s="59">
        <f t="shared" si="36"/>
        <v>0</v>
      </c>
      <c r="K180" s="59">
        <f t="shared" si="36"/>
        <v>0</v>
      </c>
      <c r="L180" s="59">
        <f t="shared" si="36"/>
        <v>0</v>
      </c>
      <c r="M180" s="59">
        <f t="shared" si="36"/>
        <v>1.69</v>
      </c>
      <c r="N180" s="59">
        <f t="shared" si="36"/>
        <v>1.69</v>
      </c>
      <c r="O180" s="59">
        <f t="shared" si="36"/>
        <v>0</v>
      </c>
      <c r="P180" s="59">
        <f t="shared" si="36"/>
        <v>0</v>
      </c>
      <c r="Q180" s="40">
        <f t="shared" si="27"/>
        <v>23.730000000000008</v>
      </c>
    </row>
    <row r="181" spans="1:17" ht="32.25" thickBot="1">
      <c r="A181" s="13">
        <v>139</v>
      </c>
      <c r="B181" s="16" t="s">
        <v>116</v>
      </c>
      <c r="C181" s="54">
        <v>15.96</v>
      </c>
      <c r="D181" s="40">
        <v>10.64</v>
      </c>
      <c r="E181" s="40"/>
      <c r="F181" s="40">
        <v>3.58</v>
      </c>
      <c r="G181" s="40"/>
      <c r="H181" s="40"/>
      <c r="I181" s="40">
        <v>0.57999999999999996</v>
      </c>
      <c r="J181" s="40"/>
      <c r="K181" s="40"/>
      <c r="L181" s="40"/>
      <c r="M181" s="40">
        <v>0.57999999999999996</v>
      </c>
      <c r="N181" s="40">
        <v>0.57999999999999996</v>
      </c>
      <c r="O181" s="40"/>
      <c r="P181" s="41"/>
      <c r="Q181" s="40">
        <f t="shared" si="27"/>
        <v>15.96</v>
      </c>
    </row>
    <row r="182" spans="1:17" ht="16.5" thickBot="1">
      <c r="A182" s="13">
        <v>140</v>
      </c>
      <c r="B182" s="16" t="s">
        <v>117</v>
      </c>
      <c r="C182" s="54">
        <v>7.77</v>
      </c>
      <c r="D182" s="40">
        <v>2.2200000000000002</v>
      </c>
      <c r="E182" s="40"/>
      <c r="F182" s="40">
        <v>2.2200000000000002</v>
      </c>
      <c r="G182" s="40"/>
      <c r="H182" s="40"/>
      <c r="I182" s="40">
        <v>1.1100000000000001</v>
      </c>
      <c r="J182" s="40"/>
      <c r="K182" s="40"/>
      <c r="L182" s="40"/>
      <c r="M182" s="40">
        <v>1.1100000000000001</v>
      </c>
      <c r="N182" s="40">
        <v>1.1100000000000001</v>
      </c>
      <c r="O182" s="40"/>
      <c r="P182" s="41"/>
      <c r="Q182" s="40">
        <f t="shared" si="27"/>
        <v>7.7700000000000014</v>
      </c>
    </row>
    <row r="183" spans="1:17" ht="16.5" thickBot="1">
      <c r="A183" s="13">
        <v>141</v>
      </c>
      <c r="B183" s="16" t="s">
        <v>118</v>
      </c>
      <c r="C183" s="5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1"/>
      <c r="Q183" s="40">
        <f t="shared" si="27"/>
        <v>0</v>
      </c>
    </row>
    <row r="184" spans="1:17" ht="16.5" thickBot="1">
      <c r="A184" s="10"/>
      <c r="B184" s="11" t="s">
        <v>187</v>
      </c>
      <c r="C184" s="56">
        <f>SUM(C185:C189)</f>
        <v>270.64999999999998</v>
      </c>
      <c r="D184" s="56">
        <f t="shared" ref="D184:P184" si="37">SUM(D185:D189)</f>
        <v>0</v>
      </c>
      <c r="E184" s="56">
        <f t="shared" si="37"/>
        <v>0</v>
      </c>
      <c r="F184" s="56">
        <f t="shared" si="37"/>
        <v>0</v>
      </c>
      <c r="G184" s="56">
        <f t="shared" si="37"/>
        <v>0</v>
      </c>
      <c r="H184" s="56">
        <f t="shared" si="37"/>
        <v>0</v>
      </c>
      <c r="I184" s="56">
        <f t="shared" si="37"/>
        <v>0</v>
      </c>
      <c r="J184" s="56">
        <f t="shared" si="37"/>
        <v>0</v>
      </c>
      <c r="K184" s="56">
        <f t="shared" si="37"/>
        <v>0</v>
      </c>
      <c r="L184" s="56">
        <f t="shared" si="37"/>
        <v>0</v>
      </c>
      <c r="M184" s="56">
        <f t="shared" si="37"/>
        <v>0</v>
      </c>
      <c r="N184" s="56">
        <f t="shared" si="37"/>
        <v>0</v>
      </c>
      <c r="O184" s="56">
        <f t="shared" si="37"/>
        <v>0</v>
      </c>
      <c r="P184" s="56">
        <f t="shared" si="37"/>
        <v>270.64999999999998</v>
      </c>
      <c r="Q184" s="40">
        <f t="shared" si="27"/>
        <v>270.64999999999998</v>
      </c>
    </row>
    <row r="185" spans="1:17" ht="16.5" thickBot="1">
      <c r="A185" s="13">
        <v>142.1</v>
      </c>
      <c r="B185" s="14" t="s">
        <v>188</v>
      </c>
      <c r="C185" s="54">
        <v>263.64999999999998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1">
        <v>263.64999999999998</v>
      </c>
      <c r="Q185" s="40">
        <f t="shared" si="27"/>
        <v>263.64999999999998</v>
      </c>
    </row>
    <row r="186" spans="1:17" ht="16.5" thickBot="1">
      <c r="A186" s="13">
        <v>142.19999999999999</v>
      </c>
      <c r="B186" s="14" t="s">
        <v>189</v>
      </c>
      <c r="C186" s="5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1"/>
      <c r="Q186" s="40">
        <f t="shared" si="27"/>
        <v>0</v>
      </c>
    </row>
    <row r="187" spans="1:17" ht="32.25" thickBot="1">
      <c r="A187" s="13">
        <v>143</v>
      </c>
      <c r="B187" s="14" t="s">
        <v>190</v>
      </c>
      <c r="C187" s="5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1"/>
      <c r="Q187" s="40">
        <f t="shared" si="27"/>
        <v>0</v>
      </c>
    </row>
    <row r="188" spans="1:17" ht="16.5" thickBot="1">
      <c r="A188" s="13">
        <v>144</v>
      </c>
      <c r="B188" s="14" t="s">
        <v>120</v>
      </c>
      <c r="C188" s="57">
        <v>7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1">
        <v>7</v>
      </c>
      <c r="Q188" s="40">
        <f t="shared" si="27"/>
        <v>7</v>
      </c>
    </row>
    <row r="189" spans="1:17" ht="16.5" thickBot="1">
      <c r="A189" s="13">
        <v>145</v>
      </c>
      <c r="B189" s="14" t="s">
        <v>121</v>
      </c>
      <c r="C189" s="63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1"/>
      <c r="Q189" s="40">
        <f t="shared" si="27"/>
        <v>0</v>
      </c>
    </row>
    <row r="190" spans="1:17" ht="16.5" thickBot="1">
      <c r="A190" s="10"/>
      <c r="B190" s="22" t="s">
        <v>220</v>
      </c>
      <c r="C190" s="56">
        <f>C191</f>
        <v>23.04</v>
      </c>
      <c r="D190" s="56">
        <f t="shared" ref="D190:P190" si="38">D191</f>
        <v>3.04</v>
      </c>
      <c r="E190" s="56">
        <f t="shared" si="38"/>
        <v>0</v>
      </c>
      <c r="F190" s="56">
        <f t="shared" si="38"/>
        <v>3.04</v>
      </c>
      <c r="G190" s="56">
        <f t="shared" si="38"/>
        <v>0</v>
      </c>
      <c r="H190" s="56">
        <f t="shared" si="38"/>
        <v>0</v>
      </c>
      <c r="I190" s="56">
        <f t="shared" si="38"/>
        <v>3.04</v>
      </c>
      <c r="J190" s="56">
        <f t="shared" si="38"/>
        <v>0</v>
      </c>
      <c r="K190" s="56">
        <f t="shared" si="38"/>
        <v>0</v>
      </c>
      <c r="L190" s="56">
        <f t="shared" si="38"/>
        <v>0</v>
      </c>
      <c r="M190" s="56">
        <f t="shared" si="38"/>
        <v>3.04</v>
      </c>
      <c r="N190" s="56">
        <f t="shared" si="38"/>
        <v>3.04</v>
      </c>
      <c r="O190" s="56">
        <f t="shared" si="38"/>
        <v>0</v>
      </c>
      <c r="P190" s="56">
        <f t="shared" si="38"/>
        <v>7.84</v>
      </c>
      <c r="Q190" s="40">
        <f t="shared" si="27"/>
        <v>23.04</v>
      </c>
    </row>
    <row r="191" spans="1:17" ht="16.5" thickBot="1">
      <c r="A191" s="13">
        <v>146</v>
      </c>
      <c r="B191" s="16" t="s">
        <v>122</v>
      </c>
      <c r="C191" s="64">
        <v>23.04</v>
      </c>
      <c r="D191" s="40">
        <v>3.04</v>
      </c>
      <c r="E191" s="40"/>
      <c r="F191" s="40">
        <v>3.04</v>
      </c>
      <c r="G191" s="40"/>
      <c r="H191" s="40"/>
      <c r="I191" s="40">
        <v>3.04</v>
      </c>
      <c r="J191" s="40"/>
      <c r="K191" s="40"/>
      <c r="L191" s="40"/>
      <c r="M191" s="40">
        <v>3.04</v>
      </c>
      <c r="N191" s="40">
        <v>3.04</v>
      </c>
      <c r="O191" s="40"/>
      <c r="P191" s="41">
        <v>7.84</v>
      </c>
      <c r="Q191" s="40">
        <f t="shared" si="27"/>
        <v>23.04</v>
      </c>
    </row>
    <row r="192" spans="1:17" ht="16.5" thickBot="1">
      <c r="A192" s="10"/>
      <c r="B192" s="22" t="s">
        <v>204</v>
      </c>
      <c r="C192" s="59">
        <f>C193</f>
        <v>0</v>
      </c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1"/>
      <c r="Q192" s="40">
        <f t="shared" si="27"/>
        <v>0</v>
      </c>
    </row>
    <row r="193" spans="1:17" ht="16.5" thickBot="1">
      <c r="A193" s="13">
        <v>147</v>
      </c>
      <c r="B193" s="16" t="s">
        <v>63</v>
      </c>
      <c r="C193" s="5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1"/>
      <c r="Q193" s="40">
        <f t="shared" si="27"/>
        <v>0</v>
      </c>
    </row>
    <row r="194" spans="1:17" ht="32.25" thickBot="1">
      <c r="A194" s="10">
        <v>148</v>
      </c>
      <c r="B194" s="11" t="s">
        <v>123</v>
      </c>
      <c r="C194" s="62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1"/>
      <c r="Q194" s="40">
        <f t="shared" si="27"/>
        <v>0</v>
      </c>
    </row>
    <row r="195" spans="1:17" ht="16.5" thickBot="1">
      <c r="A195" s="10">
        <v>149</v>
      </c>
      <c r="B195" s="11" t="s">
        <v>124</v>
      </c>
      <c r="C195" s="65">
        <v>14</v>
      </c>
      <c r="D195" s="40">
        <v>4.1500000000000004</v>
      </c>
      <c r="E195" s="40"/>
      <c r="F195" s="40">
        <v>3.45</v>
      </c>
      <c r="G195" s="40"/>
      <c r="H195" s="40"/>
      <c r="I195" s="40">
        <v>2.4</v>
      </c>
      <c r="J195" s="40"/>
      <c r="K195" s="40"/>
      <c r="L195" s="40"/>
      <c r="M195" s="40">
        <v>2.25</v>
      </c>
      <c r="N195" s="40">
        <v>1.75</v>
      </c>
      <c r="O195" s="40"/>
      <c r="P195" s="41"/>
      <c r="Q195" s="40">
        <f t="shared" si="27"/>
        <v>14</v>
      </c>
    </row>
    <row r="196" spans="1:17" ht="22.5" customHeight="1" thickBot="1">
      <c r="A196" s="7" t="s">
        <v>192</v>
      </c>
      <c r="B196" s="8" t="s">
        <v>162</v>
      </c>
      <c r="C196" s="66">
        <f>C197+C202+C208+C214+C222+C227+C231+C238+C240+C248+C251+C255+C259+C260</f>
        <v>13798.409999999998</v>
      </c>
      <c r="D196" s="9">
        <f t="shared" ref="D196:P196" si="39">D197+D202+D208+D214+D222+D227+D231+D238+D240+D248+D251+D255+D259+D260</f>
        <v>754.12629812121213</v>
      </c>
      <c r="E196" s="9">
        <f t="shared" si="39"/>
        <v>712.89113145454542</v>
      </c>
      <c r="F196" s="9">
        <f t="shared" si="39"/>
        <v>721.07261545454537</v>
      </c>
      <c r="G196" s="9">
        <f t="shared" si="39"/>
        <v>712.7621314545454</v>
      </c>
      <c r="H196" s="9">
        <f t="shared" si="39"/>
        <v>723.22744345454544</v>
      </c>
      <c r="I196" s="9">
        <f t="shared" si="39"/>
        <v>724.15627145454539</v>
      </c>
      <c r="J196" s="9">
        <f t="shared" si="39"/>
        <v>573.58479999999997</v>
      </c>
      <c r="K196" s="9">
        <f t="shared" si="39"/>
        <v>712.79847545454538</v>
      </c>
      <c r="L196" s="9">
        <f t="shared" si="39"/>
        <v>724.23892745454543</v>
      </c>
      <c r="M196" s="9">
        <f t="shared" si="39"/>
        <v>726.13527145454543</v>
      </c>
      <c r="N196" s="9">
        <f t="shared" si="39"/>
        <v>718.03795945454544</v>
      </c>
      <c r="O196" s="9">
        <f t="shared" si="39"/>
        <v>723.10044345454548</v>
      </c>
      <c r="P196" s="9">
        <f t="shared" si="39"/>
        <v>5272.2800000000007</v>
      </c>
      <c r="Q196" s="40">
        <f t="shared" si="27"/>
        <v>13798.411768666667</v>
      </c>
    </row>
    <row r="197" spans="1:17" ht="32.25" thickBot="1">
      <c r="A197" s="10"/>
      <c r="B197" s="11" t="s">
        <v>200</v>
      </c>
      <c r="C197" s="67">
        <f>SUM(C198:C201)</f>
        <v>698.69999999999993</v>
      </c>
      <c r="D197" s="67">
        <f t="shared" ref="D197:P197" si="40">SUM(D198:D201)</f>
        <v>1.25</v>
      </c>
      <c r="E197" s="67">
        <f t="shared" si="40"/>
        <v>0.11</v>
      </c>
      <c r="F197" s="67">
        <f t="shared" si="40"/>
        <v>1.1599999999999999</v>
      </c>
      <c r="G197" s="67">
        <f t="shared" si="40"/>
        <v>0.05</v>
      </c>
      <c r="H197" s="67">
        <f t="shared" si="40"/>
        <v>0.19</v>
      </c>
      <c r="I197" s="67">
        <f t="shared" si="40"/>
        <v>0.18</v>
      </c>
      <c r="J197" s="67">
        <f t="shared" si="40"/>
        <v>7.0000000000000007E-2</v>
      </c>
      <c r="K197" s="67">
        <f t="shared" si="40"/>
        <v>0.09</v>
      </c>
      <c r="L197" s="67">
        <f t="shared" si="40"/>
        <v>0.19</v>
      </c>
      <c r="M197" s="67">
        <f t="shared" si="40"/>
        <v>0.15</v>
      </c>
      <c r="N197" s="67">
        <f t="shared" si="40"/>
        <v>0.15</v>
      </c>
      <c r="O197" s="67">
        <f t="shared" si="40"/>
        <v>0.18</v>
      </c>
      <c r="P197" s="67">
        <f t="shared" si="40"/>
        <v>694.93</v>
      </c>
      <c r="Q197" s="40">
        <f t="shared" si="27"/>
        <v>698.69999999999993</v>
      </c>
    </row>
    <row r="198" spans="1:17" ht="32.25" thickBot="1">
      <c r="A198" s="13">
        <v>150</v>
      </c>
      <c r="B198" s="16" t="s">
        <v>125</v>
      </c>
      <c r="C198" s="68">
        <v>563.63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1">
        <v>563.63</v>
      </c>
      <c r="Q198" s="40">
        <f t="shared" si="27"/>
        <v>563.63</v>
      </c>
    </row>
    <row r="199" spans="1:17" ht="16.5" thickBot="1">
      <c r="A199" s="13">
        <v>151</v>
      </c>
      <c r="B199" s="14" t="s">
        <v>126</v>
      </c>
      <c r="C199" s="60">
        <v>110.4</v>
      </c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1">
        <v>110.4</v>
      </c>
      <c r="Q199" s="40">
        <f t="shared" si="27"/>
        <v>110.4</v>
      </c>
    </row>
    <row r="200" spans="1:17" ht="16.5" thickBot="1">
      <c r="A200" s="13">
        <v>152</v>
      </c>
      <c r="B200" s="14" t="s">
        <v>127</v>
      </c>
      <c r="C200" s="57">
        <v>18.05</v>
      </c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1">
        <v>18.05</v>
      </c>
      <c r="Q200" s="40">
        <f t="shared" si="27"/>
        <v>18.05</v>
      </c>
    </row>
    <row r="201" spans="1:17" ht="16.5" thickBot="1">
      <c r="A201" s="13">
        <v>153</v>
      </c>
      <c r="B201" s="14" t="s">
        <v>128</v>
      </c>
      <c r="C201" s="57">
        <v>6.62</v>
      </c>
      <c r="D201" s="40">
        <v>1.25</v>
      </c>
      <c r="E201" s="40">
        <v>0.11</v>
      </c>
      <c r="F201" s="40">
        <v>1.1599999999999999</v>
      </c>
      <c r="G201" s="40">
        <v>0.05</v>
      </c>
      <c r="H201" s="40">
        <v>0.19</v>
      </c>
      <c r="I201" s="40">
        <v>0.18</v>
      </c>
      <c r="J201" s="40">
        <v>7.0000000000000007E-2</v>
      </c>
      <c r="K201" s="40">
        <v>0.09</v>
      </c>
      <c r="L201" s="40">
        <v>0.19</v>
      </c>
      <c r="M201" s="40">
        <v>0.15</v>
      </c>
      <c r="N201" s="40">
        <v>0.15</v>
      </c>
      <c r="O201" s="40">
        <v>0.18</v>
      </c>
      <c r="P201" s="41">
        <v>2.85</v>
      </c>
      <c r="Q201" s="40">
        <f t="shared" si="27"/>
        <v>6.6199999999999992</v>
      </c>
    </row>
    <row r="202" spans="1:17" ht="32.25" thickBot="1">
      <c r="A202" s="10"/>
      <c r="B202" s="11" t="s">
        <v>205</v>
      </c>
      <c r="C202" s="59">
        <f>SUM(C203:C207)</f>
        <v>0</v>
      </c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3"/>
      <c r="Q202" s="40">
        <f t="shared" si="27"/>
        <v>0</v>
      </c>
    </row>
    <row r="203" spans="1:17" ht="16.5" thickBot="1">
      <c r="A203" s="13">
        <v>154</v>
      </c>
      <c r="B203" s="14" t="s">
        <v>129</v>
      </c>
      <c r="C203" s="5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3"/>
      <c r="Q203" s="40">
        <f t="shared" si="27"/>
        <v>0</v>
      </c>
    </row>
    <row r="204" spans="1:17" ht="16.5" thickBot="1">
      <c r="A204" s="13">
        <v>155</v>
      </c>
      <c r="B204" s="14" t="s">
        <v>130</v>
      </c>
      <c r="C204" s="5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3"/>
      <c r="Q204" s="40">
        <f t="shared" si="27"/>
        <v>0</v>
      </c>
    </row>
    <row r="205" spans="1:17" ht="32.25" thickBot="1">
      <c r="A205" s="13">
        <v>156</v>
      </c>
      <c r="B205" s="14" t="s">
        <v>131</v>
      </c>
      <c r="C205" s="5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3"/>
      <c r="Q205" s="40">
        <f t="shared" ref="Q205:Q268" si="41">SUM(D205:P205)</f>
        <v>0</v>
      </c>
    </row>
    <row r="206" spans="1:17" ht="16.5" thickBot="1">
      <c r="A206" s="13">
        <v>157</v>
      </c>
      <c r="B206" s="14" t="s">
        <v>132</v>
      </c>
      <c r="C206" s="5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3"/>
      <c r="Q206" s="40">
        <f t="shared" si="41"/>
        <v>0</v>
      </c>
    </row>
    <row r="207" spans="1:17" ht="16.5" thickBot="1">
      <c r="A207" s="13">
        <v>158</v>
      </c>
      <c r="B207" s="14" t="s">
        <v>133</v>
      </c>
      <c r="C207" s="54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3"/>
      <c r="Q207" s="40">
        <f t="shared" si="41"/>
        <v>0</v>
      </c>
    </row>
    <row r="208" spans="1:17" ht="32.25" thickBot="1">
      <c r="A208" s="10"/>
      <c r="B208" s="11" t="s">
        <v>201</v>
      </c>
      <c r="C208" s="59">
        <f>SUM(C209:C213)</f>
        <v>799.12000000000012</v>
      </c>
      <c r="D208" s="71">
        <f t="shared" ref="D208:P208" si="42">SUM(D209:D213)</f>
        <v>65.480833333333322</v>
      </c>
      <c r="E208" s="71">
        <f t="shared" si="42"/>
        <v>61.480833333333329</v>
      </c>
      <c r="F208" s="71">
        <f t="shared" si="42"/>
        <v>65.480833333333322</v>
      </c>
      <c r="G208" s="71">
        <f t="shared" si="42"/>
        <v>61.480833333333329</v>
      </c>
      <c r="H208" s="71">
        <f t="shared" si="42"/>
        <v>67.480833333333322</v>
      </c>
      <c r="I208" s="71">
        <f t="shared" si="42"/>
        <v>67.480833333333322</v>
      </c>
      <c r="J208" s="71">
        <f t="shared" si="42"/>
        <v>63.480833333333329</v>
      </c>
      <c r="K208" s="71">
        <f t="shared" si="42"/>
        <v>63.480833333333329</v>
      </c>
      <c r="L208" s="71">
        <f t="shared" si="42"/>
        <v>65.480833333333322</v>
      </c>
      <c r="M208" s="71">
        <f t="shared" si="42"/>
        <v>69.480833333333322</v>
      </c>
      <c r="N208" s="71">
        <f t="shared" si="42"/>
        <v>65.480833333333322</v>
      </c>
      <c r="O208" s="71">
        <f t="shared" si="42"/>
        <v>67.480833333333322</v>
      </c>
      <c r="P208" s="59">
        <f t="shared" si="42"/>
        <v>15.35</v>
      </c>
      <c r="Q208" s="40">
        <f t="shared" si="41"/>
        <v>799.11999999999978</v>
      </c>
    </row>
    <row r="209" spans="1:17" ht="32.25" thickBot="1">
      <c r="A209" s="13">
        <v>159</v>
      </c>
      <c r="B209" s="14" t="s">
        <v>107</v>
      </c>
      <c r="C209" s="68">
        <v>618.88</v>
      </c>
      <c r="D209" s="32">
        <f>C209/12</f>
        <v>51.573333333333331</v>
      </c>
      <c r="E209" s="32">
        <v>51.573333333333331</v>
      </c>
      <c r="F209" s="32">
        <v>51.573333333333331</v>
      </c>
      <c r="G209" s="32">
        <v>51.573333333333331</v>
      </c>
      <c r="H209" s="32">
        <v>51.573333333333331</v>
      </c>
      <c r="I209" s="32">
        <v>51.573333333333331</v>
      </c>
      <c r="J209" s="32">
        <v>51.573333333333331</v>
      </c>
      <c r="K209" s="32">
        <v>51.573333333333331</v>
      </c>
      <c r="L209" s="32">
        <v>51.573333333333331</v>
      </c>
      <c r="M209" s="32">
        <v>51.573333333333331</v>
      </c>
      <c r="N209" s="32">
        <v>51.573333333333331</v>
      </c>
      <c r="O209" s="32">
        <v>51.573333333333331</v>
      </c>
      <c r="P209" s="33"/>
      <c r="Q209" s="40">
        <f t="shared" si="41"/>
        <v>618.88000000000011</v>
      </c>
    </row>
    <row r="210" spans="1:17" ht="16.5" thickBot="1">
      <c r="A210" s="13">
        <v>160</v>
      </c>
      <c r="B210" s="14" t="s">
        <v>134</v>
      </c>
      <c r="C210" s="54">
        <v>32.97</v>
      </c>
      <c r="D210" s="40">
        <f t="shared" ref="D210" si="43">C210/12</f>
        <v>2.7475000000000001</v>
      </c>
      <c r="E210" s="32">
        <v>2.7475000000000001</v>
      </c>
      <c r="F210" s="32">
        <v>2.7475000000000001</v>
      </c>
      <c r="G210" s="32">
        <v>2.7475000000000001</v>
      </c>
      <c r="H210" s="32">
        <v>2.7475000000000001</v>
      </c>
      <c r="I210" s="32">
        <v>2.7475000000000001</v>
      </c>
      <c r="J210" s="32">
        <v>2.7475000000000001</v>
      </c>
      <c r="K210" s="32">
        <v>2.7475000000000001</v>
      </c>
      <c r="L210" s="32">
        <v>2.7475000000000001</v>
      </c>
      <c r="M210" s="32">
        <v>2.7475000000000001</v>
      </c>
      <c r="N210" s="32">
        <v>2.7475000000000001</v>
      </c>
      <c r="O210" s="32">
        <v>2.7475000000000001</v>
      </c>
      <c r="P210" s="33"/>
      <c r="Q210" s="40">
        <f t="shared" si="41"/>
        <v>32.969999999999992</v>
      </c>
    </row>
    <row r="211" spans="1:17" ht="16.5" thickBot="1">
      <c r="A211" s="13">
        <v>161</v>
      </c>
      <c r="B211" s="14" t="s">
        <v>109</v>
      </c>
      <c r="C211" s="68">
        <v>15.08</v>
      </c>
      <c r="D211" s="40">
        <f>C211/13</f>
        <v>1.1599999999999999</v>
      </c>
      <c r="E211" s="32">
        <v>1.1599999999999999</v>
      </c>
      <c r="F211" s="32">
        <v>1.1599999999999999</v>
      </c>
      <c r="G211" s="32">
        <v>1.1599999999999999</v>
      </c>
      <c r="H211" s="32">
        <v>1.1599999999999999</v>
      </c>
      <c r="I211" s="32">
        <v>1.1599999999999999</v>
      </c>
      <c r="J211" s="32">
        <v>1.1599999999999999</v>
      </c>
      <c r="K211" s="32">
        <v>1.1599999999999999</v>
      </c>
      <c r="L211" s="32">
        <v>1.1599999999999999</v>
      </c>
      <c r="M211" s="32">
        <v>1.1599999999999999</v>
      </c>
      <c r="N211" s="32">
        <v>1.1599999999999999</v>
      </c>
      <c r="O211" s="32">
        <v>1.1599999999999999</v>
      </c>
      <c r="P211" s="33">
        <v>1.1599999999999999</v>
      </c>
      <c r="Q211" s="40">
        <f t="shared" si="41"/>
        <v>15.08</v>
      </c>
    </row>
    <row r="212" spans="1:17" ht="16.5" thickBot="1">
      <c r="A212" s="13">
        <v>162</v>
      </c>
      <c r="B212" s="14" t="s">
        <v>110</v>
      </c>
      <c r="C212" s="5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3"/>
      <c r="Q212" s="40">
        <f t="shared" si="41"/>
        <v>0</v>
      </c>
    </row>
    <row r="213" spans="1:17" ht="16.5" thickBot="1">
      <c r="A213" s="13">
        <v>163</v>
      </c>
      <c r="B213" s="14" t="s">
        <v>135</v>
      </c>
      <c r="C213" s="54">
        <v>132.19</v>
      </c>
      <c r="D213" s="40">
        <v>10</v>
      </c>
      <c r="E213" s="40">
        <v>6</v>
      </c>
      <c r="F213" s="40">
        <v>10</v>
      </c>
      <c r="G213" s="40">
        <v>6</v>
      </c>
      <c r="H213" s="40">
        <v>12</v>
      </c>
      <c r="I213" s="40">
        <v>12</v>
      </c>
      <c r="J213" s="40">
        <v>8</v>
      </c>
      <c r="K213" s="40">
        <v>8</v>
      </c>
      <c r="L213" s="40">
        <v>10</v>
      </c>
      <c r="M213" s="40">
        <v>14</v>
      </c>
      <c r="N213" s="40">
        <v>10</v>
      </c>
      <c r="O213" s="40">
        <v>12</v>
      </c>
      <c r="P213" s="41">
        <v>14.19</v>
      </c>
      <c r="Q213" s="40">
        <f t="shared" si="41"/>
        <v>132.19</v>
      </c>
    </row>
    <row r="214" spans="1:17" ht="32.25" thickBot="1">
      <c r="A214" s="10"/>
      <c r="B214" s="11" t="s">
        <v>202</v>
      </c>
      <c r="C214" s="59">
        <f>SUM(C215:C221)</f>
        <v>2127.4299999999998</v>
      </c>
      <c r="D214" s="59">
        <f t="shared" ref="D214:P214" si="44">SUM(D215:D221)</f>
        <v>0</v>
      </c>
      <c r="E214" s="59">
        <f t="shared" si="44"/>
        <v>0</v>
      </c>
      <c r="F214" s="59">
        <f t="shared" si="44"/>
        <v>0</v>
      </c>
      <c r="G214" s="59">
        <f t="shared" si="44"/>
        <v>0</v>
      </c>
      <c r="H214" s="59">
        <f t="shared" si="44"/>
        <v>0</v>
      </c>
      <c r="I214" s="59">
        <f t="shared" si="44"/>
        <v>0</v>
      </c>
      <c r="J214" s="59">
        <f t="shared" si="44"/>
        <v>0</v>
      </c>
      <c r="K214" s="59">
        <f t="shared" si="44"/>
        <v>0</v>
      </c>
      <c r="L214" s="59">
        <f t="shared" si="44"/>
        <v>0</v>
      </c>
      <c r="M214" s="59">
        <f t="shared" si="44"/>
        <v>0</v>
      </c>
      <c r="N214" s="59">
        <f t="shared" si="44"/>
        <v>0</v>
      </c>
      <c r="O214" s="59">
        <f t="shared" si="44"/>
        <v>0</v>
      </c>
      <c r="P214" s="59">
        <f t="shared" si="44"/>
        <v>2127.4299999999998</v>
      </c>
      <c r="Q214" s="40">
        <f t="shared" si="41"/>
        <v>2127.4299999999998</v>
      </c>
    </row>
    <row r="215" spans="1:17" ht="16.5" thickBot="1">
      <c r="A215" s="13">
        <v>164</v>
      </c>
      <c r="B215" s="14" t="s">
        <v>136</v>
      </c>
      <c r="C215" s="54">
        <v>1814.76</v>
      </c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3">
        <v>1814.76</v>
      </c>
      <c r="Q215" s="40">
        <f t="shared" si="41"/>
        <v>1814.76</v>
      </c>
    </row>
    <row r="216" spans="1:17" ht="16.5" thickBot="1">
      <c r="A216" s="13">
        <v>165</v>
      </c>
      <c r="B216" s="14" t="s">
        <v>137</v>
      </c>
      <c r="C216" s="54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3"/>
      <c r="Q216" s="40">
        <f t="shared" si="41"/>
        <v>0</v>
      </c>
    </row>
    <row r="217" spans="1:17" ht="16.5" thickBot="1">
      <c r="A217" s="13">
        <v>166</v>
      </c>
      <c r="B217" s="16" t="s">
        <v>138</v>
      </c>
      <c r="C217" s="57">
        <v>50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3">
        <v>50</v>
      </c>
      <c r="Q217" s="40">
        <f t="shared" si="41"/>
        <v>50</v>
      </c>
    </row>
    <row r="218" spans="1:17" ht="16.5" thickBot="1">
      <c r="A218" s="13">
        <v>167</v>
      </c>
      <c r="B218" s="14" t="s">
        <v>139</v>
      </c>
      <c r="C218" s="57">
        <v>85</v>
      </c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3">
        <v>85</v>
      </c>
      <c r="Q218" s="40">
        <f t="shared" si="41"/>
        <v>85</v>
      </c>
    </row>
    <row r="219" spans="1:17" ht="16.5" thickBot="1">
      <c r="A219" s="13">
        <v>168</v>
      </c>
      <c r="B219" s="14" t="s">
        <v>140</v>
      </c>
      <c r="C219" s="57">
        <v>55</v>
      </c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3">
        <v>55</v>
      </c>
      <c r="Q219" s="40">
        <f t="shared" si="41"/>
        <v>55</v>
      </c>
    </row>
    <row r="220" spans="1:17" ht="16.5" thickBot="1">
      <c r="A220" s="13">
        <v>169</v>
      </c>
      <c r="B220" s="16" t="s">
        <v>141</v>
      </c>
      <c r="C220" s="54">
        <v>122.67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3">
        <v>122.67</v>
      </c>
      <c r="Q220" s="40">
        <f t="shared" si="41"/>
        <v>122.67</v>
      </c>
    </row>
    <row r="221" spans="1:17" ht="32.25" thickBot="1">
      <c r="A221" s="13">
        <v>170</v>
      </c>
      <c r="B221" s="14" t="s">
        <v>221</v>
      </c>
      <c r="C221" s="54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3"/>
      <c r="Q221" s="40">
        <f t="shared" si="41"/>
        <v>0</v>
      </c>
    </row>
    <row r="222" spans="1:17" ht="16.5" thickBot="1">
      <c r="A222" s="10"/>
      <c r="B222" s="11" t="s">
        <v>206</v>
      </c>
      <c r="C222" s="59">
        <f>SUM(C223:C226)</f>
        <v>104.33</v>
      </c>
      <c r="D222" s="59">
        <f t="shared" ref="D222:P222" si="45">SUM(D223:D226)</f>
        <v>6.1909679999999998</v>
      </c>
      <c r="E222" s="59">
        <f t="shared" si="45"/>
        <v>6.1909679999999998</v>
      </c>
      <c r="F222" s="59">
        <f t="shared" si="45"/>
        <v>9.2864520000000006</v>
      </c>
      <c r="G222" s="59">
        <f t="shared" si="45"/>
        <v>6.1909679999999998</v>
      </c>
      <c r="H222" s="59">
        <f t="shared" si="45"/>
        <v>10.31828</v>
      </c>
      <c r="I222" s="59">
        <f t="shared" si="45"/>
        <v>11.350107999999999</v>
      </c>
      <c r="J222" s="59">
        <f t="shared" si="45"/>
        <v>8.3699999999999992</v>
      </c>
      <c r="K222" s="59">
        <f t="shared" si="45"/>
        <v>4.1273119999999999</v>
      </c>
      <c r="L222" s="59">
        <f t="shared" si="45"/>
        <v>13.413764</v>
      </c>
      <c r="M222" s="59">
        <f t="shared" si="45"/>
        <v>11.350107999999999</v>
      </c>
      <c r="N222" s="59">
        <f t="shared" si="45"/>
        <v>7.2227959999999998</v>
      </c>
      <c r="O222" s="59">
        <f t="shared" si="45"/>
        <v>10.31828</v>
      </c>
      <c r="P222" s="59">
        <f t="shared" si="45"/>
        <v>0</v>
      </c>
      <c r="Q222" s="40">
        <f t="shared" si="41"/>
        <v>104.330004</v>
      </c>
    </row>
    <row r="223" spans="1:17" ht="16.5" thickBot="1">
      <c r="A223" s="13">
        <v>171</v>
      </c>
      <c r="B223" s="14" t="s">
        <v>142</v>
      </c>
      <c r="C223" s="5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3"/>
      <c r="Q223" s="40">
        <f t="shared" si="41"/>
        <v>0</v>
      </c>
    </row>
    <row r="224" spans="1:17" ht="16.5" thickBot="1">
      <c r="A224" s="13">
        <v>172</v>
      </c>
      <c r="B224" s="14" t="s">
        <v>143</v>
      </c>
      <c r="C224" s="5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3"/>
      <c r="Q224" s="40">
        <f t="shared" si="41"/>
        <v>0</v>
      </c>
    </row>
    <row r="225" spans="1:17" ht="16.5" thickBot="1">
      <c r="A225" s="13">
        <v>173</v>
      </c>
      <c r="B225" s="16" t="s">
        <v>144</v>
      </c>
      <c r="C225" s="54">
        <v>104.33</v>
      </c>
      <c r="D225" s="32">
        <f>1.031828*6</f>
        <v>6.1909679999999998</v>
      </c>
      <c r="E225" s="32">
        <f>1.031828*6</f>
        <v>6.1909679999999998</v>
      </c>
      <c r="F225" s="32">
        <f>1.031828*9</f>
        <v>9.2864520000000006</v>
      </c>
      <c r="G225" s="32">
        <f t="shared" ref="G225" si="46">1.031828*6</f>
        <v>6.1909679999999998</v>
      </c>
      <c r="H225" s="32">
        <f>1.031828*10</f>
        <v>10.31828</v>
      </c>
      <c r="I225" s="32">
        <f>1.031828*11</f>
        <v>11.350107999999999</v>
      </c>
      <c r="J225" s="32">
        <v>8.3699999999999992</v>
      </c>
      <c r="K225" s="32">
        <f>1.031828*4</f>
        <v>4.1273119999999999</v>
      </c>
      <c r="L225" s="32">
        <f>1.031828*13</f>
        <v>13.413764</v>
      </c>
      <c r="M225" s="32">
        <f>1.031828*11</f>
        <v>11.350107999999999</v>
      </c>
      <c r="N225" s="32">
        <f>1.031828*7</f>
        <v>7.2227959999999998</v>
      </c>
      <c r="O225" s="32">
        <f>1.031828*10</f>
        <v>10.31828</v>
      </c>
      <c r="P225" s="33"/>
      <c r="Q225" s="40">
        <f t="shared" si="41"/>
        <v>104.330004</v>
      </c>
    </row>
    <row r="226" spans="1:17" ht="16.5" thickBot="1">
      <c r="A226" s="13">
        <v>174</v>
      </c>
      <c r="B226" s="14" t="s">
        <v>145</v>
      </c>
      <c r="C226" s="5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3"/>
      <c r="Q226" s="40">
        <f t="shared" si="41"/>
        <v>0</v>
      </c>
    </row>
    <row r="227" spans="1:17" ht="16.5" thickBot="1">
      <c r="A227" s="10"/>
      <c r="B227" s="11" t="s">
        <v>203</v>
      </c>
      <c r="C227" s="52">
        <f>SUM(C228:C230)</f>
        <v>528.49</v>
      </c>
      <c r="D227" s="52">
        <f t="shared" ref="D227:P227" si="47">SUM(D228:D230)</f>
        <v>0</v>
      </c>
      <c r="E227" s="52">
        <f t="shared" si="47"/>
        <v>0</v>
      </c>
      <c r="F227" s="52">
        <f t="shared" si="47"/>
        <v>0</v>
      </c>
      <c r="G227" s="52">
        <f t="shared" si="47"/>
        <v>0</v>
      </c>
      <c r="H227" s="52">
        <f t="shared" si="47"/>
        <v>0</v>
      </c>
      <c r="I227" s="52">
        <f t="shared" si="47"/>
        <v>0</v>
      </c>
      <c r="J227" s="52">
        <f t="shared" si="47"/>
        <v>0</v>
      </c>
      <c r="K227" s="52">
        <f t="shared" si="47"/>
        <v>0</v>
      </c>
      <c r="L227" s="52">
        <f t="shared" si="47"/>
        <v>0</v>
      </c>
      <c r="M227" s="52">
        <f t="shared" si="47"/>
        <v>0</v>
      </c>
      <c r="N227" s="52">
        <f t="shared" si="47"/>
        <v>0</v>
      </c>
      <c r="O227" s="52">
        <f t="shared" si="47"/>
        <v>0</v>
      </c>
      <c r="P227" s="52">
        <f t="shared" si="47"/>
        <v>528.49</v>
      </c>
      <c r="Q227" s="40">
        <f t="shared" si="41"/>
        <v>528.49</v>
      </c>
    </row>
    <row r="228" spans="1:17" ht="32.25" thickBot="1">
      <c r="A228" s="13">
        <v>175</v>
      </c>
      <c r="B228" s="14" t="s">
        <v>116</v>
      </c>
      <c r="C228" s="68">
        <v>290.87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3">
        <v>290.87</v>
      </c>
      <c r="Q228" s="40">
        <f t="shared" si="41"/>
        <v>290.87</v>
      </c>
    </row>
    <row r="229" spans="1:17" ht="16.5" thickBot="1">
      <c r="A229" s="13">
        <v>176</v>
      </c>
      <c r="B229" s="14" t="s">
        <v>117</v>
      </c>
      <c r="C229" s="54">
        <v>210.82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3">
        <v>210.82</v>
      </c>
      <c r="Q229" s="40">
        <f t="shared" si="41"/>
        <v>210.82</v>
      </c>
    </row>
    <row r="230" spans="1:17" ht="16.5" thickBot="1">
      <c r="A230" s="13">
        <v>177</v>
      </c>
      <c r="B230" s="14" t="s">
        <v>118</v>
      </c>
      <c r="C230" s="57">
        <v>26.8</v>
      </c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3">
        <v>26.8</v>
      </c>
      <c r="Q230" s="40">
        <f t="shared" si="41"/>
        <v>26.8</v>
      </c>
    </row>
    <row r="231" spans="1:17" ht="32.25" thickBot="1">
      <c r="A231" s="10"/>
      <c r="B231" s="11" t="s">
        <v>207</v>
      </c>
      <c r="C231" s="59">
        <f>SUM(C232:C237)</f>
        <v>823.79</v>
      </c>
      <c r="D231" s="59">
        <f t="shared" ref="D231:P231" si="48">SUM(D232:D237)</f>
        <v>7.2718179999999997</v>
      </c>
      <c r="E231" s="59">
        <f t="shared" si="48"/>
        <v>7.2718179999999997</v>
      </c>
      <c r="F231" s="59">
        <f t="shared" si="48"/>
        <v>7.2718179999999997</v>
      </c>
      <c r="G231" s="59">
        <f t="shared" si="48"/>
        <v>7.2718179999999997</v>
      </c>
      <c r="H231" s="59">
        <f t="shared" si="48"/>
        <v>7.2718179999999997</v>
      </c>
      <c r="I231" s="59">
        <f t="shared" si="48"/>
        <v>7.2718179999999997</v>
      </c>
      <c r="J231" s="59">
        <f t="shared" si="48"/>
        <v>0</v>
      </c>
      <c r="K231" s="59">
        <f t="shared" si="48"/>
        <v>7.2718179999999997</v>
      </c>
      <c r="L231" s="59">
        <f t="shared" si="48"/>
        <v>7.2718179999999997</v>
      </c>
      <c r="M231" s="59">
        <f t="shared" si="48"/>
        <v>7.2718179999999997</v>
      </c>
      <c r="N231" s="59">
        <f t="shared" si="48"/>
        <v>7.2718179999999997</v>
      </c>
      <c r="O231" s="59">
        <f t="shared" si="48"/>
        <v>7.2718179999999997</v>
      </c>
      <c r="P231" s="59">
        <f t="shared" si="48"/>
        <v>743.8</v>
      </c>
      <c r="Q231" s="40">
        <f t="shared" si="41"/>
        <v>823.78999799999997</v>
      </c>
    </row>
    <row r="232" spans="1:17" ht="16.5" thickBot="1">
      <c r="A232" s="13">
        <v>178</v>
      </c>
      <c r="B232" s="16" t="s">
        <v>146</v>
      </c>
      <c r="C232" s="5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3"/>
      <c r="Q232" s="40">
        <f t="shared" si="41"/>
        <v>0</v>
      </c>
    </row>
    <row r="233" spans="1:17" ht="16.5" thickBot="1">
      <c r="A233" s="13">
        <v>179</v>
      </c>
      <c r="B233" s="16" t="s">
        <v>63</v>
      </c>
      <c r="C233" s="68">
        <v>79.48</v>
      </c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3">
        <v>79.48</v>
      </c>
      <c r="Q233" s="40">
        <f t="shared" si="41"/>
        <v>79.48</v>
      </c>
    </row>
    <row r="234" spans="1:17" ht="16.5" thickBot="1">
      <c r="A234" s="13">
        <v>180</v>
      </c>
      <c r="B234" s="16" t="s">
        <v>147</v>
      </c>
      <c r="C234" s="57">
        <v>490</v>
      </c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3">
        <v>490</v>
      </c>
      <c r="Q234" s="40">
        <f t="shared" si="41"/>
        <v>490</v>
      </c>
    </row>
    <row r="235" spans="1:17" ht="16.5" thickBot="1">
      <c r="A235" s="13">
        <v>181</v>
      </c>
      <c r="B235" s="16" t="s">
        <v>148</v>
      </c>
      <c r="C235" s="54">
        <v>171.15</v>
      </c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3">
        <v>171.15</v>
      </c>
      <c r="Q235" s="40">
        <f t="shared" si="41"/>
        <v>171.15</v>
      </c>
    </row>
    <row r="236" spans="1:17" ht="16.5" thickBot="1">
      <c r="A236" s="13">
        <v>182</v>
      </c>
      <c r="B236" s="14" t="s">
        <v>149</v>
      </c>
      <c r="C236" s="54">
        <v>83.16</v>
      </c>
      <c r="D236" s="32">
        <v>7.2718179999999997</v>
      </c>
      <c r="E236" s="32">
        <v>7.2718179999999997</v>
      </c>
      <c r="F236" s="32">
        <v>7.2718179999999997</v>
      </c>
      <c r="G236" s="32">
        <v>7.2718179999999997</v>
      </c>
      <c r="H236" s="32">
        <v>7.2718179999999997</v>
      </c>
      <c r="I236" s="32">
        <v>7.2718179999999997</v>
      </c>
      <c r="J236" s="32"/>
      <c r="K236" s="32">
        <v>7.2718179999999997</v>
      </c>
      <c r="L236" s="32">
        <v>7.2718179999999997</v>
      </c>
      <c r="M236" s="32">
        <v>7.2718179999999997</v>
      </c>
      <c r="N236" s="32">
        <v>7.2718179999999997</v>
      </c>
      <c r="O236" s="32">
        <v>7.2718179999999997</v>
      </c>
      <c r="P236" s="33">
        <v>3.17</v>
      </c>
      <c r="Q236" s="40">
        <f t="shared" si="41"/>
        <v>83.159997999999973</v>
      </c>
    </row>
    <row r="237" spans="1:17" ht="32.25" thickBot="1">
      <c r="A237" s="13">
        <v>183</v>
      </c>
      <c r="B237" s="16" t="s">
        <v>150</v>
      </c>
      <c r="C237" s="54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3"/>
      <c r="Q237" s="40">
        <f t="shared" si="41"/>
        <v>0</v>
      </c>
    </row>
    <row r="238" spans="1:17" ht="32.25" thickBot="1">
      <c r="A238" s="10"/>
      <c r="B238" s="22" t="s">
        <v>208</v>
      </c>
      <c r="C238" s="59">
        <f>C239</f>
        <v>81</v>
      </c>
      <c r="D238" s="59">
        <f t="shared" ref="D238:P238" si="49">D239</f>
        <v>0</v>
      </c>
      <c r="E238" s="59">
        <f t="shared" si="49"/>
        <v>0</v>
      </c>
      <c r="F238" s="59">
        <f t="shared" si="49"/>
        <v>0</v>
      </c>
      <c r="G238" s="59">
        <f t="shared" si="49"/>
        <v>0</v>
      </c>
      <c r="H238" s="59">
        <f t="shared" si="49"/>
        <v>0</v>
      </c>
      <c r="I238" s="59">
        <f t="shared" si="49"/>
        <v>0</v>
      </c>
      <c r="J238" s="59">
        <f t="shared" si="49"/>
        <v>0</v>
      </c>
      <c r="K238" s="59">
        <f t="shared" si="49"/>
        <v>0</v>
      </c>
      <c r="L238" s="59">
        <f t="shared" si="49"/>
        <v>0</v>
      </c>
      <c r="M238" s="59">
        <f t="shared" si="49"/>
        <v>0</v>
      </c>
      <c r="N238" s="59">
        <f t="shared" si="49"/>
        <v>0</v>
      </c>
      <c r="O238" s="59">
        <f t="shared" si="49"/>
        <v>0</v>
      </c>
      <c r="P238" s="59">
        <f t="shared" si="49"/>
        <v>81</v>
      </c>
      <c r="Q238" s="40">
        <f t="shared" si="41"/>
        <v>81</v>
      </c>
    </row>
    <row r="239" spans="1:17" ht="32.25" thickBot="1">
      <c r="A239" s="13">
        <v>184</v>
      </c>
      <c r="B239" s="14" t="s">
        <v>151</v>
      </c>
      <c r="C239" s="60">
        <v>81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3">
        <v>81</v>
      </c>
      <c r="Q239" s="40">
        <f t="shared" si="41"/>
        <v>81</v>
      </c>
    </row>
    <row r="240" spans="1:17" ht="16.5" thickBot="1">
      <c r="A240" s="10"/>
      <c r="B240" s="11" t="s">
        <v>187</v>
      </c>
      <c r="C240" s="59">
        <f>SUM(C241:C247)</f>
        <v>7932.9199999999992</v>
      </c>
      <c r="D240" s="12">
        <f t="shared" ref="D240:P240" si="50">SUM(D241:D247)</f>
        <v>622.75621212121212</v>
      </c>
      <c r="E240" s="12">
        <f t="shared" si="50"/>
        <v>586.66104545454539</v>
      </c>
      <c r="F240" s="12">
        <f t="shared" si="50"/>
        <v>586.69704545454545</v>
      </c>
      <c r="G240" s="12">
        <f t="shared" si="50"/>
        <v>586.59204545454543</v>
      </c>
      <c r="H240" s="12">
        <f t="shared" si="50"/>
        <v>586.79004545454541</v>
      </c>
      <c r="I240" s="12">
        <f t="shared" si="50"/>
        <v>586.69704545454545</v>
      </c>
      <c r="J240" s="12">
        <f t="shared" si="50"/>
        <v>450.48750000000001</v>
      </c>
      <c r="K240" s="12">
        <f t="shared" si="50"/>
        <v>586.65204545454537</v>
      </c>
      <c r="L240" s="12">
        <f t="shared" si="50"/>
        <v>586.70604545454546</v>
      </c>
      <c r="M240" s="12">
        <f t="shared" si="50"/>
        <v>586.70604545454546</v>
      </c>
      <c r="N240" s="12">
        <f t="shared" si="50"/>
        <v>586.73604545454543</v>
      </c>
      <c r="O240" s="12">
        <f t="shared" si="50"/>
        <v>586.67304545454544</v>
      </c>
      <c r="P240" s="12">
        <f t="shared" si="50"/>
        <v>992.77</v>
      </c>
      <c r="Q240" s="40">
        <f t="shared" si="41"/>
        <v>7932.9241666666658</v>
      </c>
    </row>
    <row r="241" spans="1:17" s="49" customFormat="1" ht="16.5" thickBot="1">
      <c r="A241" s="45">
        <v>185.1</v>
      </c>
      <c r="B241" s="46" t="s">
        <v>188</v>
      </c>
      <c r="C241" s="54">
        <v>5837.54</v>
      </c>
      <c r="D241" s="47">
        <f>C241/12</f>
        <v>486.46166666666664</v>
      </c>
      <c r="E241" s="47">
        <v>450.42750000000001</v>
      </c>
      <c r="F241" s="47">
        <v>450.42750000000001</v>
      </c>
      <c r="G241" s="47">
        <v>450.42750000000001</v>
      </c>
      <c r="H241" s="47">
        <v>450.42750000000001</v>
      </c>
      <c r="I241" s="47">
        <v>450.42750000000001</v>
      </c>
      <c r="J241" s="47">
        <v>450.42750000000001</v>
      </c>
      <c r="K241" s="47">
        <v>450.42750000000001</v>
      </c>
      <c r="L241" s="47">
        <v>450.42750000000001</v>
      </c>
      <c r="M241" s="47">
        <v>450.42750000000001</v>
      </c>
      <c r="N241" s="47">
        <v>450.42750000000001</v>
      </c>
      <c r="O241" s="47">
        <v>450.42750000000001</v>
      </c>
      <c r="P241" s="48">
        <v>396.38</v>
      </c>
      <c r="Q241" s="40">
        <f t="shared" si="41"/>
        <v>5837.5441666666657</v>
      </c>
    </row>
    <row r="242" spans="1:17" s="49" customFormat="1" ht="16.5" thickBot="1">
      <c r="A242" s="45">
        <v>185.2</v>
      </c>
      <c r="B242" s="46" t="s">
        <v>189</v>
      </c>
      <c r="C242" s="54"/>
      <c r="D242" s="47">
        <f>C242/11</f>
        <v>0</v>
      </c>
      <c r="E242" s="47">
        <f>D242/11</f>
        <v>0</v>
      </c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8"/>
      <c r="Q242" s="40">
        <f t="shared" si="41"/>
        <v>0</v>
      </c>
    </row>
    <row r="243" spans="1:17" ht="32.25" thickBot="1">
      <c r="A243" s="13">
        <v>186</v>
      </c>
      <c r="B243" s="14" t="s">
        <v>119</v>
      </c>
      <c r="C243" s="57">
        <v>597.9</v>
      </c>
      <c r="D243" s="40">
        <v>0.16</v>
      </c>
      <c r="E243" s="40">
        <v>9.9000000000000005E-2</v>
      </c>
      <c r="F243" s="40">
        <v>0.13500000000000001</v>
      </c>
      <c r="G243" s="40">
        <v>0.03</v>
      </c>
      <c r="H243" s="40">
        <v>0.22800000000000001</v>
      </c>
      <c r="I243" s="40">
        <v>0.13500000000000001</v>
      </c>
      <c r="J243" s="40">
        <v>0.06</v>
      </c>
      <c r="K243" s="40">
        <v>0.09</v>
      </c>
      <c r="L243" s="40">
        <v>0.14399999999999999</v>
      </c>
      <c r="M243" s="40">
        <v>0.14399999999999999</v>
      </c>
      <c r="N243" s="40">
        <v>0.17399999999999999</v>
      </c>
      <c r="O243" s="40">
        <v>0.111</v>
      </c>
      <c r="P243" s="41">
        <v>596.39</v>
      </c>
      <c r="Q243" s="40">
        <f t="shared" si="41"/>
        <v>597.9</v>
      </c>
    </row>
    <row r="244" spans="1:17" s="49" customFormat="1" ht="16.5" thickBot="1">
      <c r="A244" s="45">
        <v>187</v>
      </c>
      <c r="B244" s="46" t="s">
        <v>152</v>
      </c>
      <c r="C244" s="54">
        <v>751.78</v>
      </c>
      <c r="D244" s="47">
        <f>C244/11</f>
        <v>68.343636363636364</v>
      </c>
      <c r="E244" s="47">
        <v>68.343636363636364</v>
      </c>
      <c r="F244" s="47">
        <v>68.343636363636364</v>
      </c>
      <c r="G244" s="47">
        <v>68.343636363636364</v>
      </c>
      <c r="H244" s="47">
        <v>68.343636363636364</v>
      </c>
      <c r="I244" s="47">
        <v>68.343636363636364</v>
      </c>
      <c r="J244" s="47"/>
      <c r="K244" s="47">
        <v>68.343636363636364</v>
      </c>
      <c r="L244" s="47">
        <v>68.343636363636364</v>
      </c>
      <c r="M244" s="47">
        <v>68.343636363636364</v>
      </c>
      <c r="N244" s="47">
        <v>68.343636363636364</v>
      </c>
      <c r="O244" s="47">
        <v>68.343636363636364</v>
      </c>
      <c r="P244" s="48"/>
      <c r="Q244" s="40">
        <f t="shared" si="41"/>
        <v>751.7800000000002</v>
      </c>
    </row>
    <row r="245" spans="1:17" s="49" customFormat="1" ht="16.5" thickBot="1">
      <c r="A245" s="45">
        <v>188</v>
      </c>
      <c r="B245" s="46" t="s">
        <v>120</v>
      </c>
      <c r="C245" s="57">
        <v>745.7</v>
      </c>
      <c r="D245" s="47">
        <f>C245/11</f>
        <v>67.790909090909096</v>
      </c>
      <c r="E245" s="47">
        <v>67.790909090909096</v>
      </c>
      <c r="F245" s="47">
        <v>67.790909090909096</v>
      </c>
      <c r="G245" s="47">
        <v>67.790909090909096</v>
      </c>
      <c r="H245" s="47">
        <v>67.790909090909096</v>
      </c>
      <c r="I245" s="47">
        <v>67.790909090909096</v>
      </c>
      <c r="J245" s="47"/>
      <c r="K245" s="47">
        <v>67.790909090909096</v>
      </c>
      <c r="L245" s="47">
        <v>67.790909090909096</v>
      </c>
      <c r="M245" s="47">
        <v>67.790909090909096</v>
      </c>
      <c r="N245" s="47">
        <v>67.790909090909096</v>
      </c>
      <c r="O245" s="47">
        <v>67.790909090909096</v>
      </c>
      <c r="P245" s="48"/>
      <c r="Q245" s="40">
        <f t="shared" si="41"/>
        <v>745.69999999999993</v>
      </c>
    </row>
    <row r="246" spans="1:17" ht="16.5" thickBot="1">
      <c r="A246" s="13">
        <v>189</v>
      </c>
      <c r="B246" s="14" t="s">
        <v>121</v>
      </c>
      <c r="C246" s="54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3"/>
      <c r="Q246" s="40">
        <f t="shared" si="41"/>
        <v>0</v>
      </c>
    </row>
    <row r="247" spans="1:17" ht="16.5" thickBot="1">
      <c r="A247" s="13">
        <v>190</v>
      </c>
      <c r="B247" s="14" t="s">
        <v>153</v>
      </c>
      <c r="C247" s="5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3"/>
      <c r="Q247" s="40">
        <f t="shared" si="41"/>
        <v>0</v>
      </c>
    </row>
    <row r="248" spans="1:17" ht="16.5" thickBot="1">
      <c r="A248" s="10"/>
      <c r="B248" s="11" t="s">
        <v>209</v>
      </c>
      <c r="C248" s="59">
        <f>SUM(C249:C250)</f>
        <v>0</v>
      </c>
      <c r="D248" s="59">
        <f t="shared" ref="D248:P248" si="51">SUM(D249:D250)</f>
        <v>0</v>
      </c>
      <c r="E248" s="59">
        <f t="shared" si="51"/>
        <v>0</v>
      </c>
      <c r="F248" s="59">
        <f t="shared" si="51"/>
        <v>0</v>
      </c>
      <c r="G248" s="59">
        <f t="shared" si="51"/>
        <v>0</v>
      </c>
      <c r="H248" s="59">
        <f t="shared" si="51"/>
        <v>0</v>
      </c>
      <c r="I248" s="59">
        <f t="shared" si="51"/>
        <v>0</v>
      </c>
      <c r="J248" s="59">
        <f t="shared" si="51"/>
        <v>0</v>
      </c>
      <c r="K248" s="59">
        <f t="shared" si="51"/>
        <v>0</v>
      </c>
      <c r="L248" s="59">
        <f t="shared" si="51"/>
        <v>0</v>
      </c>
      <c r="M248" s="59">
        <f t="shared" si="51"/>
        <v>0</v>
      </c>
      <c r="N248" s="59">
        <f t="shared" si="51"/>
        <v>0</v>
      </c>
      <c r="O248" s="59">
        <f t="shared" si="51"/>
        <v>0</v>
      </c>
      <c r="P248" s="59">
        <f t="shared" si="51"/>
        <v>0</v>
      </c>
      <c r="Q248" s="40">
        <f t="shared" si="41"/>
        <v>0</v>
      </c>
    </row>
    <row r="249" spans="1:17" ht="16.5" thickBot="1">
      <c r="A249" s="13">
        <v>191</v>
      </c>
      <c r="B249" s="14" t="s">
        <v>154</v>
      </c>
      <c r="C249" s="54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3"/>
      <c r="Q249" s="40">
        <f t="shared" si="41"/>
        <v>0</v>
      </c>
    </row>
    <row r="250" spans="1:17" ht="16.5" thickBot="1">
      <c r="A250" s="13">
        <v>192</v>
      </c>
      <c r="B250" s="14" t="s">
        <v>155</v>
      </c>
      <c r="C250" s="5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3"/>
      <c r="Q250" s="40">
        <f t="shared" si="41"/>
        <v>0</v>
      </c>
    </row>
    <row r="251" spans="1:17" ht="16.5" thickBot="1">
      <c r="A251" s="10"/>
      <c r="B251" s="11" t="s">
        <v>220</v>
      </c>
      <c r="C251" s="59">
        <f>SUM(C252:C254)</f>
        <v>18.38</v>
      </c>
      <c r="D251" s="59">
        <f t="shared" ref="D251:P251" si="52">SUM(D252:D254)</f>
        <v>0</v>
      </c>
      <c r="E251" s="59">
        <f t="shared" si="52"/>
        <v>0</v>
      </c>
      <c r="F251" s="59">
        <f t="shared" si="52"/>
        <v>0</v>
      </c>
      <c r="G251" s="59">
        <f t="shared" si="52"/>
        <v>0</v>
      </c>
      <c r="H251" s="59">
        <f t="shared" si="52"/>
        <v>0</v>
      </c>
      <c r="I251" s="59">
        <f t="shared" si="52"/>
        <v>0</v>
      </c>
      <c r="J251" s="59">
        <f t="shared" si="52"/>
        <v>0</v>
      </c>
      <c r="K251" s="59">
        <f t="shared" si="52"/>
        <v>0</v>
      </c>
      <c r="L251" s="59">
        <f t="shared" si="52"/>
        <v>0</v>
      </c>
      <c r="M251" s="59">
        <f t="shared" si="52"/>
        <v>0</v>
      </c>
      <c r="N251" s="59">
        <f t="shared" si="52"/>
        <v>0</v>
      </c>
      <c r="O251" s="59">
        <f t="shared" si="52"/>
        <v>0</v>
      </c>
      <c r="P251" s="59">
        <f t="shared" si="52"/>
        <v>18.38</v>
      </c>
      <c r="Q251" s="40">
        <f t="shared" si="41"/>
        <v>18.38</v>
      </c>
    </row>
    <row r="252" spans="1:17" ht="16.5" thickBot="1">
      <c r="A252" s="13">
        <v>193</v>
      </c>
      <c r="B252" s="16" t="s">
        <v>156</v>
      </c>
      <c r="C252" s="54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3"/>
      <c r="Q252" s="40">
        <f t="shared" si="41"/>
        <v>0</v>
      </c>
    </row>
    <row r="253" spans="1:17" ht="16.5" thickBot="1">
      <c r="A253" s="13">
        <v>194.1</v>
      </c>
      <c r="B253" s="16" t="s">
        <v>122</v>
      </c>
      <c r="C253" s="68">
        <v>18.38</v>
      </c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3">
        <v>18.38</v>
      </c>
      <c r="Q253" s="40">
        <f t="shared" si="41"/>
        <v>18.38</v>
      </c>
    </row>
    <row r="254" spans="1:17" ht="16.5" thickBot="1">
      <c r="A254" s="13">
        <v>194.2</v>
      </c>
      <c r="B254" s="16" t="s">
        <v>210</v>
      </c>
      <c r="C254" s="64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3"/>
      <c r="Q254" s="40">
        <f t="shared" si="41"/>
        <v>0</v>
      </c>
    </row>
    <row r="255" spans="1:17" ht="32.25" thickBot="1">
      <c r="A255" s="10"/>
      <c r="B255" s="11" t="s">
        <v>211</v>
      </c>
      <c r="C255" s="59">
        <f>SUM(C256:C258)</f>
        <v>134.87</v>
      </c>
      <c r="D255" s="59">
        <f t="shared" ref="D255:P255" si="53">SUM(D256:D258)</f>
        <v>5.3948</v>
      </c>
      <c r="E255" s="59">
        <f t="shared" si="53"/>
        <v>5.3948</v>
      </c>
      <c r="F255" s="59">
        <f t="shared" si="53"/>
        <v>5.3948</v>
      </c>
      <c r="G255" s="59">
        <f t="shared" si="53"/>
        <v>5.3948</v>
      </c>
      <c r="H255" s="59">
        <f t="shared" si="53"/>
        <v>5.3948</v>
      </c>
      <c r="I255" s="59">
        <f t="shared" si="53"/>
        <v>5.3948</v>
      </c>
      <c r="J255" s="59">
        <f t="shared" si="53"/>
        <v>5.3948</v>
      </c>
      <c r="K255" s="59">
        <f t="shared" si="53"/>
        <v>5.3948</v>
      </c>
      <c r="L255" s="59">
        <f t="shared" si="53"/>
        <v>5.3948</v>
      </c>
      <c r="M255" s="59">
        <f t="shared" si="53"/>
        <v>5.3948</v>
      </c>
      <c r="N255" s="59">
        <f t="shared" si="53"/>
        <v>5.3948</v>
      </c>
      <c r="O255" s="59">
        <f t="shared" si="53"/>
        <v>5.3948</v>
      </c>
      <c r="P255" s="59">
        <f t="shared" si="53"/>
        <v>70.13</v>
      </c>
      <c r="Q255" s="40">
        <f t="shared" si="41"/>
        <v>134.86760000000001</v>
      </c>
    </row>
    <row r="256" spans="1:17" ht="16.5" thickBot="1">
      <c r="A256" s="13">
        <v>195</v>
      </c>
      <c r="B256" s="14" t="s">
        <v>157</v>
      </c>
      <c r="C256" s="68">
        <v>134.87</v>
      </c>
      <c r="D256" s="32">
        <f>C256/25</f>
        <v>5.3948</v>
      </c>
      <c r="E256" s="32">
        <v>5.3948</v>
      </c>
      <c r="F256" s="32">
        <v>5.3948</v>
      </c>
      <c r="G256" s="32">
        <v>5.3948</v>
      </c>
      <c r="H256" s="32">
        <v>5.3948</v>
      </c>
      <c r="I256" s="32">
        <v>5.3948</v>
      </c>
      <c r="J256" s="32">
        <v>5.3948</v>
      </c>
      <c r="K256" s="32">
        <v>5.3948</v>
      </c>
      <c r="L256" s="32">
        <v>5.3948</v>
      </c>
      <c r="M256" s="32">
        <v>5.3948</v>
      </c>
      <c r="N256" s="32">
        <v>5.3948</v>
      </c>
      <c r="O256" s="32">
        <v>5.3948</v>
      </c>
      <c r="P256" s="33">
        <v>70.13</v>
      </c>
      <c r="Q256" s="40">
        <f t="shared" si="41"/>
        <v>134.86760000000001</v>
      </c>
    </row>
    <row r="257" spans="1:17" ht="16.5" thickBot="1">
      <c r="A257" s="13">
        <v>196</v>
      </c>
      <c r="B257" s="14" t="s">
        <v>158</v>
      </c>
      <c r="C257" s="5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3"/>
      <c r="Q257" s="40">
        <f t="shared" si="41"/>
        <v>0</v>
      </c>
    </row>
    <row r="258" spans="1:17" ht="16.5" thickBot="1">
      <c r="A258" s="13">
        <v>197</v>
      </c>
      <c r="B258" s="14" t="s">
        <v>159</v>
      </c>
      <c r="C258" s="5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3"/>
      <c r="Q258" s="40">
        <f t="shared" si="41"/>
        <v>0</v>
      </c>
    </row>
    <row r="259" spans="1:17" ht="32.25" thickBot="1">
      <c r="A259" s="10">
        <v>198</v>
      </c>
      <c r="B259" s="11" t="s">
        <v>123</v>
      </c>
      <c r="C259" s="59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3"/>
      <c r="Q259" s="40">
        <f t="shared" si="41"/>
        <v>0</v>
      </c>
    </row>
    <row r="260" spans="1:17" s="49" customFormat="1" ht="16.5" thickBot="1">
      <c r="A260" s="45">
        <v>199</v>
      </c>
      <c r="B260" s="46" t="s">
        <v>124</v>
      </c>
      <c r="C260" s="59">
        <v>549.38</v>
      </c>
      <c r="D260" s="47">
        <f>C260/12</f>
        <v>45.781666666666666</v>
      </c>
      <c r="E260" s="47">
        <v>45.781666666666666</v>
      </c>
      <c r="F260" s="47">
        <v>45.781666666666666</v>
      </c>
      <c r="G260" s="47">
        <v>45.781666666666666</v>
      </c>
      <c r="H260" s="47">
        <v>45.781666666666666</v>
      </c>
      <c r="I260" s="47">
        <v>45.781666666666666</v>
      </c>
      <c r="J260" s="47">
        <v>45.781666666666666</v>
      </c>
      <c r="K260" s="47">
        <v>45.781666666666666</v>
      </c>
      <c r="L260" s="47">
        <v>45.781666666666666</v>
      </c>
      <c r="M260" s="47">
        <v>45.781666666666666</v>
      </c>
      <c r="N260" s="47">
        <v>45.781666666666666</v>
      </c>
      <c r="O260" s="47">
        <v>45.781666666666666</v>
      </c>
      <c r="P260" s="48"/>
      <c r="Q260" s="40">
        <f t="shared" si="41"/>
        <v>549.37999999999988</v>
      </c>
    </row>
    <row r="261" spans="1:17">
      <c r="A261" s="5" t="s">
        <v>237</v>
      </c>
      <c r="B261" s="6" t="s">
        <v>226</v>
      </c>
      <c r="C261" s="69">
        <f>SUM(C262:C268)</f>
        <v>0</v>
      </c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3"/>
      <c r="Q261" s="40">
        <f t="shared" si="41"/>
        <v>0</v>
      </c>
    </row>
    <row r="262" spans="1:17" hidden="1">
      <c r="A262" s="13">
        <v>1</v>
      </c>
      <c r="B262" s="14" t="s">
        <v>227</v>
      </c>
      <c r="C262" s="70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3"/>
      <c r="Q262" s="40">
        <f t="shared" si="41"/>
        <v>0</v>
      </c>
    </row>
    <row r="263" spans="1:17" hidden="1">
      <c r="A263" s="13">
        <v>2</v>
      </c>
      <c r="B263" s="14" t="s">
        <v>228</v>
      </c>
      <c r="C263" s="70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3"/>
      <c r="Q263" s="40">
        <f t="shared" si="41"/>
        <v>0</v>
      </c>
    </row>
    <row r="264" spans="1:17" hidden="1">
      <c r="A264" s="13">
        <v>3</v>
      </c>
      <c r="B264" s="14" t="s">
        <v>229</v>
      </c>
      <c r="C264" s="70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3"/>
      <c r="Q264" s="40">
        <f t="shared" si="41"/>
        <v>0</v>
      </c>
    </row>
    <row r="265" spans="1:17" hidden="1">
      <c r="A265" s="13">
        <v>4</v>
      </c>
      <c r="B265" s="14" t="s">
        <v>230</v>
      </c>
      <c r="C265" s="70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3"/>
      <c r="Q265" s="40">
        <f t="shared" si="41"/>
        <v>0</v>
      </c>
    </row>
    <row r="266" spans="1:17" hidden="1">
      <c r="A266" s="13">
        <v>5</v>
      </c>
      <c r="B266" s="14" t="s">
        <v>231</v>
      </c>
      <c r="C266" s="70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3"/>
      <c r="Q266" s="40">
        <f t="shared" si="41"/>
        <v>0</v>
      </c>
    </row>
    <row r="267" spans="1:17" ht="31.5" hidden="1">
      <c r="A267" s="13">
        <v>6</v>
      </c>
      <c r="B267" s="14" t="s">
        <v>232</v>
      </c>
      <c r="C267" s="70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3"/>
      <c r="Q267" s="40">
        <f t="shared" si="41"/>
        <v>0</v>
      </c>
    </row>
    <row r="268" spans="1:17" hidden="1">
      <c r="A268" s="13">
        <v>7</v>
      </c>
      <c r="B268" s="14" t="s">
        <v>233</v>
      </c>
      <c r="C268" s="70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3"/>
      <c r="Q268" s="40">
        <f t="shared" si="41"/>
        <v>0</v>
      </c>
    </row>
    <row r="269" spans="1:17">
      <c r="A269" s="23"/>
      <c r="B269" s="24" t="s">
        <v>222</v>
      </c>
      <c r="C269" s="25">
        <f t="shared" ref="C269:P269" si="54">+C261+C9</f>
        <v>21979.359999999997</v>
      </c>
      <c r="D269" s="25">
        <f t="shared" si="54"/>
        <v>1304.9454263263403</v>
      </c>
      <c r="E269" s="25">
        <f t="shared" si="54"/>
        <v>1078.8818109417248</v>
      </c>
      <c r="F269" s="25">
        <f t="shared" si="54"/>
        <v>1194.284294941725</v>
      </c>
      <c r="G269" s="25">
        <f t="shared" si="54"/>
        <v>1058.135310941725</v>
      </c>
      <c r="H269" s="25">
        <f t="shared" si="54"/>
        <v>1139.9946229417249</v>
      </c>
      <c r="I269" s="25">
        <f t="shared" si="54"/>
        <v>1144.6866509417248</v>
      </c>
      <c r="J269" s="25">
        <f t="shared" si="54"/>
        <v>895.79647948717945</v>
      </c>
      <c r="K269" s="25">
        <f t="shared" si="54"/>
        <v>1070.4703849417249</v>
      </c>
      <c r="L269" s="25">
        <f t="shared" si="54"/>
        <v>1102.8338769417251</v>
      </c>
      <c r="M269" s="25">
        <f t="shared" si="54"/>
        <v>1124.9909509417248</v>
      </c>
      <c r="N269" s="25">
        <f t="shared" si="54"/>
        <v>1119.7391389417248</v>
      </c>
      <c r="O269" s="25">
        <f t="shared" si="54"/>
        <v>1099.6696229417248</v>
      </c>
      <c r="P269" s="25">
        <f t="shared" si="54"/>
        <v>8644.9476917076936</v>
      </c>
      <c r="Q269" s="40">
        <f t="shared" ref="Q269" si="55">SUM(D269:P269)</f>
        <v>21979.376262938466</v>
      </c>
    </row>
    <row r="270" spans="1:17" ht="32.25" customHeight="1"/>
    <row r="271" spans="1:17" ht="18.75">
      <c r="A271" s="29" t="s">
        <v>259</v>
      </c>
      <c r="C271" s="28" t="s">
        <v>258</v>
      </c>
      <c r="E271" s="28"/>
      <c r="F271" s="2"/>
    </row>
  </sheetData>
  <sheetProtection password="87A7" sheet="1" objects="1" scenarios="1"/>
  <mergeCells count="4">
    <mergeCell ref="A7:A8"/>
    <mergeCell ref="B7:B8"/>
    <mergeCell ref="D7:P7"/>
    <mergeCell ref="A1:Q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sweta roy</dc:creator>
  <cp:lastModifiedBy>dell</cp:lastModifiedBy>
  <cp:lastPrinted>2023-02-15T09:04:09Z</cp:lastPrinted>
  <dcterms:created xsi:type="dcterms:W3CDTF">2022-04-05T09:54:05Z</dcterms:created>
  <dcterms:modified xsi:type="dcterms:W3CDTF">2023-07-24T07:21:23Z</dcterms:modified>
</cp:coreProperties>
</file>